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S:\KVGM (VCA en ISO)\7. CO2 prestatieladder\A. Inzicht\2022\"/>
    </mc:Choice>
  </mc:AlternateContent>
  <bookViews>
    <workbookView xWindow="0" yWindow="465" windowWidth="16005" windowHeight="11535" tabRatio="844" firstSheet="21" activeTab="25"/>
  </bookViews>
  <sheets>
    <sheet name="Toelichting" sheetId="7" r:id="rId1"/>
    <sheet name="Dieselolie 2017" sheetId="23" r:id="rId2"/>
    <sheet name="Euro 95 2017" sheetId="16" r:id="rId3"/>
    <sheet name="Elektra 2017" sheetId="15" r:id="rId4"/>
    <sheet name="CO2-footprint 2017" sheetId="8" r:id="rId5"/>
    <sheet name="Dieselolie 2018" sheetId="1" r:id="rId6"/>
    <sheet name="Euro 95 2018" sheetId="24" r:id="rId7"/>
    <sheet name="Elektra 2018" sheetId="25" r:id="rId8"/>
    <sheet name="CO2-footprint 2018" sheetId="26" r:id="rId9"/>
    <sheet name="Dieselolie 2019" sheetId="28" r:id="rId10"/>
    <sheet name="Euro 95 2019" sheetId="29" r:id="rId11"/>
    <sheet name="Stadswarmte 2019" sheetId="33" r:id="rId12"/>
    <sheet name="Elektra 2019" sheetId="30" r:id="rId13"/>
    <sheet name="CO-2 Footprint 2019" sheetId="31" r:id="rId14"/>
    <sheet name="Dieselolie 2020" sheetId="34" r:id="rId15"/>
    <sheet name="Euro 95 2020" sheetId="35" r:id="rId16"/>
    <sheet name="Stadswarmte 2020" sheetId="36" r:id="rId17"/>
    <sheet name="Elektra 2020" sheetId="37" r:id="rId18"/>
    <sheet name="CO-2 Footprint 2020" sheetId="38" r:id="rId19"/>
    <sheet name="Dieselolie 2021" sheetId="39" r:id="rId20"/>
    <sheet name="Euro 95 2021" sheetId="41" r:id="rId21"/>
    <sheet name="Elektra 2021" sheetId="42" r:id="rId22"/>
    <sheet name="Stadswarmte 2021" sheetId="40" r:id="rId23"/>
    <sheet name="Verschillen 2017 - 2021" sheetId="43" r:id="rId24"/>
    <sheet name="Dieselolie 2022" sheetId="44" r:id="rId25"/>
    <sheet name="Euro 95 2022" sheetId="45" r:id="rId26"/>
    <sheet name="Elektra 2022" sheetId="46" r:id="rId27"/>
    <sheet name="Stadswarmte 2022" sheetId="47" r:id="rId28"/>
    <sheet name="Verschillen 2017 - 2022" sheetId="48" r:id="rId29"/>
  </sheets>
  <externalReferences>
    <externalReference r:id="rId30"/>
    <externalReference r:id="rId31"/>
  </externalReferences>
  <definedNames>
    <definedName name="_xlnm.Print_Area" localSheetId="23">'Verschillen 2017 - 2021'!$A$1:$Q$76</definedName>
    <definedName name="_xlnm.Print_Area" localSheetId="28">'Verschillen 2017 - 2022'!$A$1:$Q$76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3" i="45" l="1"/>
  <c r="F13" i="44"/>
  <c r="D13" i="44"/>
  <c r="D23" i="45" l="1"/>
  <c r="A35" i="41"/>
  <c r="B38" i="44"/>
  <c r="F20" i="45"/>
  <c r="B92" i="48"/>
  <c r="J92" i="48" s="1"/>
  <c r="B91" i="48" l="1"/>
  <c r="E4" i="46"/>
  <c r="M92" i="48" l="1"/>
  <c r="M88" i="48"/>
  <c r="M86" i="48"/>
  <c r="M85" i="48"/>
  <c r="M84" i="48"/>
  <c r="J90" i="48"/>
  <c r="J86" i="48"/>
  <c r="J85" i="48"/>
  <c r="J84" i="48"/>
  <c r="E92" i="48"/>
  <c r="E90" i="48"/>
  <c r="A92" i="48"/>
  <c r="J91" i="48"/>
  <c r="B90" i="48"/>
  <c r="A90" i="48"/>
  <c r="E88" i="48"/>
  <c r="E86" i="48"/>
  <c r="E85" i="48"/>
  <c r="E84" i="48"/>
  <c r="B86" i="48"/>
  <c r="B85" i="48"/>
  <c r="B84" i="48"/>
  <c r="B2" i="46"/>
  <c r="E26" i="42"/>
  <c r="G4" i="46"/>
  <c r="E26" i="46"/>
  <c r="D26" i="46"/>
  <c r="E12" i="46"/>
  <c r="F23" i="44" l="1"/>
  <c r="C25" i="44"/>
  <c r="E25" i="44"/>
  <c r="D23" i="44"/>
  <c r="D15" i="45" l="1"/>
  <c r="B26" i="46"/>
  <c r="C26" i="46"/>
  <c r="E23" i="46"/>
  <c r="E22" i="46"/>
  <c r="E21" i="46"/>
  <c r="E20" i="46"/>
  <c r="E19" i="46"/>
  <c r="E13" i="46" l="1"/>
  <c r="E14" i="46"/>
  <c r="E15" i="46"/>
  <c r="E16" i="46"/>
  <c r="E17" i="46"/>
  <c r="E18" i="46"/>
  <c r="B39" i="39" l="1"/>
  <c r="C25" i="45"/>
  <c r="E25" i="45"/>
  <c r="B32" i="45" s="1"/>
  <c r="F15" i="45"/>
  <c r="F17" i="45" s="1"/>
  <c r="F23" i="45"/>
  <c r="D21" i="45"/>
  <c r="F21" i="45" s="1"/>
  <c r="D22" i="45"/>
  <c r="F22" i="45" s="1"/>
  <c r="D20" i="45"/>
  <c r="F13" i="39"/>
  <c r="F19" i="44"/>
  <c r="F22" i="44"/>
  <c r="D16" i="44"/>
  <c r="F16" i="44" s="1"/>
  <c r="D17" i="44"/>
  <c r="F17" i="44" s="1"/>
  <c r="D18" i="44"/>
  <c r="F18" i="44" s="1"/>
  <c r="D19" i="44"/>
  <c r="D20" i="44"/>
  <c r="F20" i="44" s="1"/>
  <c r="D21" i="44"/>
  <c r="F21" i="44" s="1"/>
  <c r="D22" i="44"/>
  <c r="D15" i="44"/>
  <c r="F15" i="44" s="1"/>
  <c r="D14" i="44"/>
  <c r="F14" i="44" s="1"/>
  <c r="C16" i="45"/>
  <c r="D25" i="45" l="1"/>
  <c r="B8" i="45"/>
  <c r="C8" i="45" s="1"/>
  <c r="F26" i="44"/>
  <c r="D25" i="44"/>
  <c r="B39" i="44" s="1"/>
  <c r="F26" i="45"/>
  <c r="E73" i="48"/>
  <c r="B73" i="48"/>
  <c r="A73" i="48"/>
  <c r="E72" i="48"/>
  <c r="B72" i="48"/>
  <c r="E71" i="48"/>
  <c r="B71" i="48"/>
  <c r="A71" i="48"/>
  <c r="E67" i="48"/>
  <c r="B67" i="48"/>
  <c r="E66" i="48"/>
  <c r="B66" i="48"/>
  <c r="E65" i="48"/>
  <c r="B65" i="48"/>
  <c r="E55" i="48"/>
  <c r="B55" i="48"/>
  <c r="A55" i="48"/>
  <c r="E54" i="48"/>
  <c r="B54" i="48"/>
  <c r="J54" i="48" s="1"/>
  <c r="A54" i="48"/>
  <c r="E53" i="48"/>
  <c r="B53" i="48"/>
  <c r="J53" i="48" s="1"/>
  <c r="A53" i="48"/>
  <c r="E49" i="48"/>
  <c r="B49" i="48"/>
  <c r="E48" i="48"/>
  <c r="B48" i="48"/>
  <c r="J48" i="48" s="1"/>
  <c r="E47" i="48"/>
  <c r="B47" i="48"/>
  <c r="J65" i="48" s="1"/>
  <c r="E41" i="48"/>
  <c r="G39" i="48"/>
  <c r="E39" i="48"/>
  <c r="M39" i="48" s="1"/>
  <c r="G38" i="48"/>
  <c r="E38" i="48"/>
  <c r="C38" i="48"/>
  <c r="B38" i="48"/>
  <c r="A38" i="48"/>
  <c r="J37" i="48"/>
  <c r="G37" i="48"/>
  <c r="E37" i="48"/>
  <c r="M37" i="48" s="1"/>
  <c r="G36" i="48"/>
  <c r="G34" i="48"/>
  <c r="E34" i="48"/>
  <c r="G33" i="48"/>
  <c r="E33" i="48"/>
  <c r="M33" i="48" s="1"/>
  <c r="B33" i="48"/>
  <c r="J33" i="48" s="1"/>
  <c r="G32" i="48"/>
  <c r="E32" i="48"/>
  <c r="G31" i="48"/>
  <c r="E31" i="48"/>
  <c r="E21" i="48"/>
  <c r="E22" i="48" s="1"/>
  <c r="B21" i="48"/>
  <c r="J36" i="48" s="1"/>
  <c r="E18" i="48"/>
  <c r="B18" i="48"/>
  <c r="J32" i="48" s="1"/>
  <c r="E17" i="48"/>
  <c r="B17" i="48"/>
  <c r="J31" i="48" s="1"/>
  <c r="E9" i="48"/>
  <c r="E10" i="48" s="1"/>
  <c r="B9" i="48"/>
  <c r="E6" i="48"/>
  <c r="B6" i="48"/>
  <c r="J18" i="48" s="1"/>
  <c r="E5" i="48"/>
  <c r="B5" i="48"/>
  <c r="B8" i="47"/>
  <c r="C6" i="47"/>
  <c r="C8" i="47" s="1"/>
  <c r="E3" i="46"/>
  <c r="E30" i="45"/>
  <c r="C9" i="45" s="1"/>
  <c r="C11" i="45" s="1"/>
  <c r="E16" i="45"/>
  <c r="D16" i="45"/>
  <c r="B8" i="44"/>
  <c r="E7" i="48" l="1"/>
  <c r="M32" i="48"/>
  <c r="M55" i="48"/>
  <c r="M66" i="48"/>
  <c r="M17" i="48"/>
  <c r="G41" i="48"/>
  <c r="J21" i="48"/>
  <c r="J47" i="48"/>
  <c r="G3" i="46"/>
  <c r="E91" i="48"/>
  <c r="M49" i="48"/>
  <c r="J55" i="48"/>
  <c r="M47" i="48"/>
  <c r="J49" i="48"/>
  <c r="M65" i="48"/>
  <c r="M73" i="48"/>
  <c r="J17" i="48"/>
  <c r="E51" i="48"/>
  <c r="M51" i="48" s="1"/>
  <c r="E69" i="48"/>
  <c r="J72" i="48"/>
  <c r="M54" i="48"/>
  <c r="J66" i="48"/>
  <c r="J71" i="48"/>
  <c r="M72" i="48"/>
  <c r="M18" i="48"/>
  <c r="M31" i="48"/>
  <c r="J67" i="48"/>
  <c r="J73" i="48"/>
  <c r="E12" i="48"/>
  <c r="E19" i="48"/>
  <c r="M48" i="48"/>
  <c r="M67" i="48"/>
  <c r="E74" i="48"/>
  <c r="E76" i="48" s="1"/>
  <c r="E56" i="48"/>
  <c r="B6" i="46"/>
  <c r="E2" i="46"/>
  <c r="E6" i="46" s="1"/>
  <c r="C8" i="44"/>
  <c r="C10" i="44" s="1"/>
  <c r="B10" i="44"/>
  <c r="F29" i="41"/>
  <c r="D21" i="41"/>
  <c r="F26" i="39"/>
  <c r="E21" i="43"/>
  <c r="E49" i="43"/>
  <c r="B49" i="43"/>
  <c r="B7" i="38"/>
  <c r="E4" i="42"/>
  <c r="G3" i="42"/>
  <c r="E3" i="42"/>
  <c r="B2" i="42"/>
  <c r="B6" i="42" s="1"/>
  <c r="M91" i="48" l="1"/>
  <c r="E93" i="48"/>
  <c r="B11" i="45"/>
  <c r="M69" i="48"/>
  <c r="G73" i="48"/>
  <c r="G66" i="48"/>
  <c r="G65" i="48"/>
  <c r="G69" i="48"/>
  <c r="G72" i="48"/>
  <c r="G71" i="48"/>
  <c r="G67" i="48"/>
  <c r="M19" i="48"/>
  <c r="M34" i="48"/>
  <c r="G9" i="48"/>
  <c r="G5" i="48"/>
  <c r="G6" i="48"/>
  <c r="E24" i="48"/>
  <c r="G19" i="48" s="1"/>
  <c r="G10" i="48"/>
  <c r="G7" i="48"/>
  <c r="G12" i="48" s="1"/>
  <c r="E58" i="48"/>
  <c r="M76" i="48" s="1"/>
  <c r="O76" i="48" s="1"/>
  <c r="M56" i="48"/>
  <c r="G74" i="48"/>
  <c r="G76" i="48" s="1"/>
  <c r="M74" i="48"/>
  <c r="E2" i="42"/>
  <c r="E6" i="42" s="1"/>
  <c r="E95" i="48" l="1"/>
  <c r="M93" i="48"/>
  <c r="G56" i="48"/>
  <c r="M58" i="48"/>
  <c r="O58" i="48" s="1"/>
  <c r="M60" i="48"/>
  <c r="G53" i="48"/>
  <c r="G54" i="48"/>
  <c r="G47" i="48"/>
  <c r="G51" i="48"/>
  <c r="G49" i="48"/>
  <c r="G55" i="48"/>
  <c r="G48" i="48"/>
  <c r="M24" i="48"/>
  <c r="M41" i="48"/>
  <c r="O41" i="48" s="1"/>
  <c r="G21" i="48"/>
  <c r="M26" i="48"/>
  <c r="G17" i="48"/>
  <c r="G18" i="48"/>
  <c r="G22" i="48"/>
  <c r="G24" i="48"/>
  <c r="M78" i="48"/>
  <c r="E26" i="35"/>
  <c r="C8" i="35" s="1"/>
  <c r="G58" i="48" l="1"/>
  <c r="M95" i="48"/>
  <c r="O95" i="48" s="1"/>
  <c r="M97" i="48"/>
  <c r="G88" i="48"/>
  <c r="G90" i="48"/>
  <c r="G85" i="48"/>
  <c r="G84" i="48"/>
  <c r="G86" i="48"/>
  <c r="G92" i="48"/>
  <c r="G91" i="48"/>
  <c r="G93" i="48"/>
  <c r="G95" i="48" s="1"/>
  <c r="E23" i="35"/>
  <c r="E28" i="41" l="1"/>
  <c r="C28" i="41"/>
  <c r="E16" i="41"/>
  <c r="C16" i="41"/>
  <c r="F21" i="41"/>
  <c r="B8" i="41" l="1"/>
  <c r="C8" i="41" s="1"/>
  <c r="B67" i="43"/>
  <c r="E33" i="41"/>
  <c r="C9" i="41" s="1"/>
  <c r="E67" i="43" s="1"/>
  <c r="D20" i="41"/>
  <c r="C22" i="39"/>
  <c r="C14" i="39"/>
  <c r="C25" i="39" s="1"/>
  <c r="B8" i="39" s="1"/>
  <c r="A73" i="43"/>
  <c r="B72" i="43"/>
  <c r="A71" i="43"/>
  <c r="E25" i="39"/>
  <c r="D27" i="41"/>
  <c r="F27" i="41" s="1"/>
  <c r="D26" i="41"/>
  <c r="F26" i="41" s="1"/>
  <c r="D25" i="41"/>
  <c r="F25" i="41" s="1"/>
  <c r="D24" i="41"/>
  <c r="F24" i="41" s="1"/>
  <c r="D23" i="41"/>
  <c r="F23" i="41" s="1"/>
  <c r="D22" i="41"/>
  <c r="F22" i="41" s="1"/>
  <c r="D15" i="41"/>
  <c r="B6" i="40"/>
  <c r="C26" i="42"/>
  <c r="B26" i="42"/>
  <c r="F15" i="41" l="1"/>
  <c r="F17" i="41" s="1"/>
  <c r="D16" i="41"/>
  <c r="B38" i="39"/>
  <c r="D14" i="39"/>
  <c r="F20" i="41"/>
  <c r="D28" i="41"/>
  <c r="B66" i="43"/>
  <c r="B5" i="43"/>
  <c r="E5" i="43"/>
  <c r="B6" i="43"/>
  <c r="E6" i="43"/>
  <c r="B9" i="43"/>
  <c r="E9" i="43"/>
  <c r="E10" i="43" s="1"/>
  <c r="B17" i="43"/>
  <c r="E17" i="43"/>
  <c r="B18" i="43"/>
  <c r="E18" i="43"/>
  <c r="B21" i="43"/>
  <c r="E22" i="43"/>
  <c r="E31" i="43"/>
  <c r="G31" i="43"/>
  <c r="E32" i="43"/>
  <c r="G32" i="43"/>
  <c r="J32" i="43"/>
  <c r="B33" i="43"/>
  <c r="J33" i="43" s="1"/>
  <c r="E33" i="43"/>
  <c r="M33" i="43" s="1"/>
  <c r="G33" i="43"/>
  <c r="E34" i="43"/>
  <c r="G34" i="43"/>
  <c r="G36" i="43"/>
  <c r="E37" i="43"/>
  <c r="M37" i="43" s="1"/>
  <c r="G37" i="43"/>
  <c r="J37" i="43"/>
  <c r="A38" i="43"/>
  <c r="B38" i="43"/>
  <c r="C38" i="43"/>
  <c r="E38" i="43"/>
  <c r="G38" i="43"/>
  <c r="E39" i="43"/>
  <c r="M39" i="43" s="1"/>
  <c r="G39" i="43"/>
  <c r="E41" i="43"/>
  <c r="B47" i="43"/>
  <c r="J47" i="43" s="1"/>
  <c r="E47" i="43"/>
  <c r="B48" i="43"/>
  <c r="J48" i="43" s="1"/>
  <c r="E48" i="43"/>
  <c r="J67" i="43"/>
  <c r="M67" i="43"/>
  <c r="A53" i="43"/>
  <c r="B53" i="43"/>
  <c r="J53" i="43" s="1"/>
  <c r="E53" i="43"/>
  <c r="A54" i="43"/>
  <c r="B54" i="43"/>
  <c r="J72" i="43" s="1"/>
  <c r="E54" i="43"/>
  <c r="A55" i="43"/>
  <c r="E72" i="43"/>
  <c r="C6" i="40"/>
  <c r="C8" i="40" s="1"/>
  <c r="E73" i="43" s="1"/>
  <c r="B8" i="40"/>
  <c r="B73" i="43" s="1"/>
  <c r="C8" i="39"/>
  <c r="C10" i="39" s="1"/>
  <c r="E65" i="43" s="1"/>
  <c r="M65" i="43" s="1"/>
  <c r="D13" i="39"/>
  <c r="D15" i="39"/>
  <c r="F15" i="39" s="1"/>
  <c r="D16" i="39"/>
  <c r="F16" i="39" s="1"/>
  <c r="D17" i="39"/>
  <c r="F17" i="39" s="1"/>
  <c r="D18" i="39"/>
  <c r="F18" i="39" s="1"/>
  <c r="D19" i="39"/>
  <c r="F19" i="39" s="1"/>
  <c r="D20" i="39"/>
  <c r="F20" i="39" s="1"/>
  <c r="D21" i="39"/>
  <c r="F21" i="39" s="1"/>
  <c r="D22" i="39"/>
  <c r="F22" i="39" s="1"/>
  <c r="D23" i="39"/>
  <c r="F23" i="39" s="1"/>
  <c r="J18" i="43" l="1"/>
  <c r="G41" i="43"/>
  <c r="M49" i="43"/>
  <c r="M72" i="43"/>
  <c r="M18" i="43"/>
  <c r="J66" i="43"/>
  <c r="M47" i="43"/>
  <c r="M31" i="43"/>
  <c r="E7" i="43"/>
  <c r="E12" i="43" s="1"/>
  <c r="M54" i="43"/>
  <c r="J49" i="43"/>
  <c r="M17" i="43"/>
  <c r="J54" i="43"/>
  <c r="J21" i="43"/>
  <c r="J17" i="43"/>
  <c r="E66" i="43"/>
  <c r="D25" i="39"/>
  <c r="M32" i="43"/>
  <c r="E51" i="43"/>
  <c r="J31" i="43"/>
  <c r="E19" i="43"/>
  <c r="E24" i="43" s="1"/>
  <c r="G22" i="43" s="1"/>
  <c r="M48" i="43"/>
  <c r="J36" i="43"/>
  <c r="B11" i="41"/>
  <c r="B10" i="39"/>
  <c r="B71" i="43" l="1"/>
  <c r="J71" i="43" s="1"/>
  <c r="E69" i="43"/>
  <c r="M69" i="43" s="1"/>
  <c r="M66" i="43"/>
  <c r="M51" i="43"/>
  <c r="C11" i="41"/>
  <c r="B65" i="43"/>
  <c r="J65" i="43" s="1"/>
  <c r="M19" i="43"/>
  <c r="M34" i="43"/>
  <c r="G6" i="43"/>
  <c r="G5" i="43"/>
  <c r="G9" i="43"/>
  <c r="G10" i="43"/>
  <c r="G7" i="43"/>
  <c r="M24" i="43"/>
  <c r="G17" i="43"/>
  <c r="M26" i="43"/>
  <c r="G18" i="43"/>
  <c r="G19" i="43"/>
  <c r="G24" i="43" s="1"/>
  <c r="G21" i="43"/>
  <c r="M41" i="43"/>
  <c r="O41" i="43" s="1"/>
  <c r="E71" i="43" l="1"/>
  <c r="E74" i="43" s="1"/>
  <c r="E76" i="43" s="1"/>
  <c r="G73" i="43" s="1"/>
  <c r="G12" i="43"/>
  <c r="G71" i="43" l="1"/>
  <c r="G66" i="43"/>
  <c r="G65" i="43"/>
  <c r="G67" i="43"/>
  <c r="G74" i="43"/>
  <c r="G72" i="43"/>
  <c r="G69" i="43"/>
  <c r="D22" i="35"/>
  <c r="D21" i="35"/>
  <c r="D18" i="35"/>
  <c r="D20" i="35"/>
  <c r="D19" i="35"/>
  <c r="D17" i="35"/>
  <c r="D16" i="35"/>
  <c r="D15" i="35"/>
  <c r="D14" i="35"/>
  <c r="D15" i="34"/>
  <c r="D13" i="34"/>
  <c r="G76" i="43" l="1"/>
  <c r="D23" i="35"/>
  <c r="F14" i="34"/>
  <c r="F15" i="34"/>
  <c r="G15" i="34" s="1"/>
  <c r="F16" i="34"/>
  <c r="F17" i="34"/>
  <c r="F18" i="34"/>
  <c r="F19" i="34"/>
  <c r="F20" i="34"/>
  <c r="F21" i="34"/>
  <c r="F22" i="34"/>
  <c r="F23" i="34"/>
  <c r="F24" i="34"/>
  <c r="F25" i="34"/>
  <c r="F26" i="34"/>
  <c r="F27" i="34"/>
  <c r="F28" i="34"/>
  <c r="F29" i="34"/>
  <c r="F13" i="34"/>
  <c r="G13" i="34" s="1"/>
  <c r="F15" i="35"/>
  <c r="G15" i="35" s="1"/>
  <c r="F16" i="35"/>
  <c r="G16" i="35" s="1"/>
  <c r="F17" i="35"/>
  <c r="G17" i="35" s="1"/>
  <c r="F18" i="35"/>
  <c r="G18" i="35" s="1"/>
  <c r="F19" i="35"/>
  <c r="G19" i="35" s="1"/>
  <c r="F20" i="35"/>
  <c r="G20" i="35" s="1"/>
  <c r="F21" i="35"/>
  <c r="F22" i="35"/>
  <c r="G22" i="35" s="1"/>
  <c r="F14" i="35"/>
  <c r="G14" i="35" s="1"/>
  <c r="F23" i="35"/>
  <c r="B29" i="35" s="1"/>
  <c r="G23" i="35" l="1"/>
  <c r="E30" i="34"/>
  <c r="F30" i="34" s="1"/>
  <c r="B32" i="34" s="1"/>
  <c r="B12" i="38" l="1"/>
  <c r="C25" i="37" l="1"/>
  <c r="B25" i="37"/>
  <c r="E25" i="37" l="1"/>
  <c r="B11" i="38" s="1"/>
  <c r="B7" i="35"/>
  <c r="C7" i="35" s="1"/>
  <c r="B8" i="34"/>
  <c r="C8" i="34" s="1"/>
  <c r="D28" i="34"/>
  <c r="D27" i="34"/>
  <c r="G27" i="34" s="1"/>
  <c r="D26" i="34"/>
  <c r="B13" i="38" l="1"/>
  <c r="B35" i="38"/>
  <c r="B34" i="38"/>
  <c r="C13" i="38"/>
  <c r="C36" i="38" s="1"/>
  <c r="A13" i="38"/>
  <c r="A12" i="38"/>
  <c r="A35" i="38" s="1"/>
  <c r="A11" i="38"/>
  <c r="A34" i="38" s="1"/>
  <c r="E3" i="37"/>
  <c r="E12" i="38" s="1"/>
  <c r="B8" i="36"/>
  <c r="B55" i="43" s="1"/>
  <c r="C6" i="36"/>
  <c r="C8" i="36" s="1"/>
  <c r="E55" i="43" s="1"/>
  <c r="B6" i="38"/>
  <c r="E7" i="38"/>
  <c r="M73" i="43" l="1"/>
  <c r="M55" i="43"/>
  <c r="E56" i="43"/>
  <c r="J73" i="43"/>
  <c r="J55" i="43"/>
  <c r="B36" i="38"/>
  <c r="A36" i="38"/>
  <c r="B29" i="38"/>
  <c r="E30" i="38"/>
  <c r="B2" i="37"/>
  <c r="B5" i="37" s="1"/>
  <c r="E13" i="38"/>
  <c r="E35" i="38"/>
  <c r="B10" i="35"/>
  <c r="D29" i="34"/>
  <c r="D25" i="34"/>
  <c r="G25" i="34" s="1"/>
  <c r="D24" i="34"/>
  <c r="D23" i="34"/>
  <c r="G23" i="34" s="1"/>
  <c r="D22" i="34"/>
  <c r="G22" i="34" s="1"/>
  <c r="D21" i="34"/>
  <c r="G21" i="34" s="1"/>
  <c r="D20" i="34"/>
  <c r="G20" i="34" s="1"/>
  <c r="D19" i="34"/>
  <c r="G19" i="34" s="1"/>
  <c r="D18" i="34"/>
  <c r="G18" i="34" s="1"/>
  <c r="D17" i="34"/>
  <c r="G17" i="34" s="1"/>
  <c r="D14" i="34"/>
  <c r="G14" i="34" s="1"/>
  <c r="E58" i="43" l="1"/>
  <c r="G54" i="43" s="1"/>
  <c r="M56" i="43"/>
  <c r="M74" i="43"/>
  <c r="E36" i="38"/>
  <c r="B30" i="38"/>
  <c r="E2" i="37"/>
  <c r="C10" i="35"/>
  <c r="E6" i="38"/>
  <c r="B10" i="34"/>
  <c r="C10" i="34"/>
  <c r="D16" i="34"/>
  <c r="G16" i="34" s="1"/>
  <c r="M60" i="43" l="1"/>
  <c r="G51" i="43"/>
  <c r="G53" i="43"/>
  <c r="G47" i="43"/>
  <c r="G49" i="43"/>
  <c r="G48" i="43"/>
  <c r="M58" i="43"/>
  <c r="O58" i="43" s="1"/>
  <c r="M78" i="43"/>
  <c r="M76" i="43"/>
  <c r="O76" i="43" s="1"/>
  <c r="G55" i="43"/>
  <c r="G56" i="43"/>
  <c r="E5" i="37"/>
  <c r="E11" i="38"/>
  <c r="B31" i="35"/>
  <c r="B30" i="35"/>
  <c r="E5" i="38"/>
  <c r="E9" i="38" s="1"/>
  <c r="B33" i="34"/>
  <c r="B34" i="34"/>
  <c r="E29" i="38"/>
  <c r="B5" i="38"/>
  <c r="E14" i="38"/>
  <c r="D15" i="28"/>
  <c r="D14" i="28"/>
  <c r="D13" i="28"/>
  <c r="G58" i="43" l="1"/>
  <c r="E34" i="38"/>
  <c r="E37" i="38" s="1"/>
  <c r="E28" i="38"/>
  <c r="E32" i="38" s="1"/>
  <c r="E39" i="38" s="1"/>
  <c r="G35" i="38" s="1"/>
  <c r="E16" i="38"/>
  <c r="G5" i="38" s="1"/>
  <c r="B28" i="38"/>
  <c r="C13" i="31"/>
  <c r="C36" i="31" s="1"/>
  <c r="B13" i="31"/>
  <c r="B36" i="31" s="1"/>
  <c r="A13" i="31"/>
  <c r="A36" i="31" s="1"/>
  <c r="B8" i="33"/>
  <c r="C6" i="33"/>
  <c r="E13" i="31" s="1"/>
  <c r="E36" i="31" l="1"/>
  <c r="C8" i="33"/>
  <c r="G7" i="38"/>
  <c r="G36" i="38"/>
  <c r="G13" i="38"/>
  <c r="G14" i="38"/>
  <c r="G34" i="38"/>
  <c r="G30" i="38"/>
  <c r="G12" i="38"/>
  <c r="G37" i="38"/>
  <c r="G28" i="38"/>
  <c r="G29" i="38"/>
  <c r="G11" i="38"/>
  <c r="G6" i="38"/>
  <c r="G32" i="38"/>
  <c r="G9" i="38"/>
  <c r="C8" i="29"/>
  <c r="E7" i="31" s="1"/>
  <c r="B8" i="29"/>
  <c r="B7" i="31" s="1"/>
  <c r="C16" i="1"/>
  <c r="B30" i="31" l="1"/>
  <c r="E30" i="31"/>
  <c r="G16" i="38"/>
  <c r="G39" i="38"/>
  <c r="C27" i="28"/>
  <c r="D27" i="28" s="1"/>
  <c r="E3" i="30" l="1"/>
  <c r="E12" i="31" s="1"/>
  <c r="B12" i="31"/>
  <c r="B35" i="31" s="1"/>
  <c r="A12" i="31"/>
  <c r="A35" i="31" s="1"/>
  <c r="A11" i="31"/>
  <c r="A34" i="31" s="1"/>
  <c r="C25" i="30"/>
  <c r="B25" i="30"/>
  <c r="C16" i="29"/>
  <c r="C14" i="29"/>
  <c r="C21" i="28"/>
  <c r="D21" i="28" s="1"/>
  <c r="C23" i="28"/>
  <c r="D23" i="28" s="1"/>
  <c r="C20" i="28"/>
  <c r="D20" i="28" s="1"/>
  <c r="C18" i="28"/>
  <c r="D18" i="28" s="1"/>
  <c r="C24" i="28"/>
  <c r="D24" i="28" s="1"/>
  <c r="C26" i="28"/>
  <c r="D26" i="28" s="1"/>
  <c r="C16" i="28"/>
  <c r="C17" i="28"/>
  <c r="D17" i="28" s="1"/>
  <c r="C22" i="28"/>
  <c r="D22" i="28" s="1"/>
  <c r="C25" i="28"/>
  <c r="D25" i="28" s="1"/>
  <c r="C19" i="28"/>
  <c r="D19" i="28" s="1"/>
  <c r="C19" i="29"/>
  <c r="D16" i="28" l="1"/>
  <c r="B8" i="28"/>
  <c r="E35" i="31"/>
  <c r="B7" i="29"/>
  <c r="C7" i="29" s="1"/>
  <c r="E25" i="30"/>
  <c r="B2" i="30" s="1"/>
  <c r="C10" i="29" l="1"/>
  <c r="E6" i="31"/>
  <c r="B6" i="31"/>
  <c r="B29" i="31" s="1"/>
  <c r="B10" i="29"/>
  <c r="E2" i="30"/>
  <c r="B11" i="31"/>
  <c r="B34" i="31" s="1"/>
  <c r="B5" i="30"/>
  <c r="B10" i="28"/>
  <c r="C8" i="28"/>
  <c r="C10" i="28" s="1"/>
  <c r="E5" i="31" s="1"/>
  <c r="E9" i="8"/>
  <c r="E29" i="31" l="1"/>
  <c r="E28" i="31"/>
  <c r="B5" i="31"/>
  <c r="B28" i="31" s="1"/>
  <c r="E9" i="31"/>
  <c r="E5" i="30"/>
  <c r="E11" i="31"/>
  <c r="C21" i="25"/>
  <c r="B21" i="25"/>
  <c r="C16" i="24"/>
  <c r="B6" i="24" s="1"/>
  <c r="B8" i="24" s="1"/>
  <c r="B6" i="26" s="1"/>
  <c r="C14" i="23"/>
  <c r="D14" i="23" s="1"/>
  <c r="D13" i="23"/>
  <c r="E32" i="31" l="1"/>
  <c r="E34" i="31"/>
  <c r="E37" i="31" s="1"/>
  <c r="E14" i="31"/>
  <c r="E16" i="31"/>
  <c r="E21" i="25"/>
  <c r="B2" i="25" s="1"/>
  <c r="B9" i="26" s="1"/>
  <c r="C6" i="24"/>
  <c r="C8" i="24" s="1"/>
  <c r="E6" i="26" s="1"/>
  <c r="B6" i="23"/>
  <c r="C20" i="15"/>
  <c r="B20" i="15"/>
  <c r="E39" i="31" l="1"/>
  <c r="G30" i="31" s="1"/>
  <c r="G32" i="31"/>
  <c r="G5" i="31"/>
  <c r="E20" i="15"/>
  <c r="B2" i="15" s="1"/>
  <c r="G13" i="31"/>
  <c r="G29" i="31"/>
  <c r="G28" i="31"/>
  <c r="G37" i="31"/>
  <c r="G39" i="31" s="1"/>
  <c r="G7" i="31"/>
  <c r="G12" i="31"/>
  <c r="G9" i="31"/>
  <c r="G11" i="31"/>
  <c r="G6" i="31"/>
  <c r="G14" i="31"/>
  <c r="E2" i="15"/>
  <c r="E2" i="25"/>
  <c r="E9" i="26" s="1"/>
  <c r="B8" i="23"/>
  <c r="C6" i="23"/>
  <c r="C16" i="16"/>
  <c r="B6" i="16" s="1"/>
  <c r="B6" i="1"/>
  <c r="G35" i="31" l="1"/>
  <c r="G36" i="31"/>
  <c r="G34" i="31"/>
  <c r="B9" i="8"/>
  <c r="G16" i="31"/>
  <c r="C8" i="23"/>
  <c r="B5" i="8"/>
  <c r="E10" i="26"/>
  <c r="D16" i="1"/>
  <c r="E5" i="8" l="1"/>
  <c r="B8" i="1"/>
  <c r="B5" i="26" s="1"/>
  <c r="B8" i="16" l="1"/>
  <c r="C6" i="16"/>
  <c r="C8" i="16" l="1"/>
  <c r="E6" i="8" l="1"/>
  <c r="B6" i="8"/>
  <c r="C6" i="1"/>
  <c r="E5" i="26" s="1"/>
  <c r="E7" i="26" l="1"/>
  <c r="C8" i="1"/>
  <c r="E12" i="26" l="1"/>
  <c r="G7" i="26" s="1"/>
  <c r="E7" i="8"/>
  <c r="G10" i="26" l="1"/>
  <c r="G12" i="26" s="1"/>
  <c r="G5" i="26"/>
  <c r="G9" i="26"/>
  <c r="G6" i="26"/>
  <c r="E10" i="8"/>
  <c r="E12" i="8" s="1"/>
  <c r="G5" i="8" l="1"/>
  <c r="G7" i="8"/>
  <c r="G6" i="8"/>
  <c r="G10" i="8"/>
  <c r="G9" i="8"/>
  <c r="G12" i="8" l="1"/>
</calcChain>
</file>

<file path=xl/sharedStrings.xml><?xml version="1.0" encoding="utf-8"?>
<sst xmlns="http://schemas.openxmlformats.org/spreadsheetml/2006/main" count="1325" uniqueCount="207">
  <si>
    <t>Bij de navolgende emmissieinventaris zijn de volgende opmerkingen te maken:</t>
  </si>
  <si>
    <r>
      <t xml:space="preserve">1. Met 'scope 1' worden alle </t>
    </r>
    <r>
      <rPr>
        <b/>
        <sz val="10"/>
        <color rgb="FF000000"/>
        <rFont val="Arial"/>
        <family val="2"/>
      </rPr>
      <t>directe</t>
    </r>
    <r>
      <rPr>
        <sz val="10"/>
        <color rgb="FF000000"/>
        <rFont val="Arial"/>
        <family val="2"/>
      </rPr>
      <t xml:space="preserve"> emissies bedoeld. Scope 2 zijn alle </t>
    </r>
    <r>
      <rPr>
        <b/>
        <sz val="10"/>
        <color rgb="FF000000"/>
        <rFont val="Arial"/>
        <family val="2"/>
      </rPr>
      <t>indirecte</t>
    </r>
    <r>
      <rPr>
        <sz val="10"/>
        <color rgb="FF000000"/>
        <rFont val="Arial"/>
        <family val="2"/>
      </rPr>
      <t xml:space="preserve"> emissies, die ontstaan bij het opwekken van elektra.</t>
    </r>
  </si>
  <si>
    <t>2. Het bedrijf maakt geen gebruik van aardgas voor de verwarming van het pand. Evenmin wordt er LPG gebruikt voor het wagenpark.</t>
  </si>
  <si>
    <r>
      <t>3. Nieuw in 2019 is dat het verbruik van de Nissan Leaf is opgenomen. Dit is een volledig elektrische auto</t>
    </r>
    <r>
      <rPr>
        <sz val="10"/>
        <color theme="1"/>
        <rFont val="Arial"/>
        <family val="2"/>
      </rPr>
      <t>.</t>
    </r>
  </si>
  <si>
    <t xml:space="preserve">4. Nieuw in 2019 is de post 'gedeclareerde kilometers'. In 2018 waren er geen gedeclareerde kilometers. </t>
  </si>
  <si>
    <t>Alleen de gegevens van Radioweg 13 zijn meegenomen, andere locaties zoals televisieweg zijn uitgelsloten omdat dit alleen onverwarmde opslag voor derde bevat</t>
  </si>
  <si>
    <t>Dieselolie</t>
  </si>
  <si>
    <t>periode 01/01/2017 tot 31/12/2017</t>
  </si>
  <si>
    <t>co2emissiefactoren.nl</t>
  </si>
  <si>
    <t>Liters</t>
  </si>
  <si>
    <t>KG CO2</t>
  </si>
  <si>
    <t>Dieselverbruik 2017</t>
  </si>
  <si>
    <t>Totaal</t>
  </si>
  <si>
    <t>Diesel</t>
  </si>
  <si>
    <t>Factuur</t>
  </si>
  <si>
    <t>CO2</t>
  </si>
  <si>
    <t>km/draaiuren</t>
  </si>
  <si>
    <t>km/liters</t>
  </si>
  <si>
    <t>Toelichting</t>
  </si>
  <si>
    <t>Document 'FuelSummary2018'</t>
  </si>
  <si>
    <t>Overzichtsdocument leverancier</t>
  </si>
  <si>
    <t>Totaal over 2017 Benzine, Diesel resp. 4067 en 33037 liter.</t>
  </si>
  <si>
    <t>Benzine EURO95</t>
  </si>
  <si>
    <t>Specificatie</t>
  </si>
  <si>
    <t>Bron</t>
  </si>
  <si>
    <t>Euro 95</t>
  </si>
  <si>
    <t>Document 'FuelConsumption 2017</t>
  </si>
  <si>
    <t>BP Ultimate 98 Ongelood</t>
  </si>
  <si>
    <t>TOTAAL</t>
  </si>
  <si>
    <t>Radioweg 13 Almere</t>
  </si>
  <si>
    <t>Verbruik*</t>
  </si>
  <si>
    <t>Zonnenergie</t>
  </si>
  <si>
    <t>kWh</t>
  </si>
  <si>
    <t>Jaar:</t>
  </si>
  <si>
    <t>Tijdstip</t>
  </si>
  <si>
    <t>levering totaal [kWh]</t>
  </si>
  <si>
    <t>teruglevering totaal [kWh]</t>
  </si>
  <si>
    <t>Opgewekt</t>
  </si>
  <si>
    <t>Totaal levering</t>
  </si>
  <si>
    <t>Totaal teruglevering</t>
  </si>
  <si>
    <t>Netto verbruik</t>
  </si>
  <si>
    <t>Bronnen:</t>
  </si>
  <si>
    <t>Document 'Elektriciteit 2017</t>
  </si>
  <si>
    <t>Document 'Zonnepanelen 2016-2019'</t>
  </si>
  <si>
    <t>Emissies ingedeeld naar Scope 1 versus Scope 2</t>
  </si>
  <si>
    <t>Scope 1 (directe emissies)</t>
  </si>
  <si>
    <t>liter</t>
  </si>
  <si>
    <t>Benzine Euro95</t>
  </si>
  <si>
    <t>Subtotaal</t>
  </si>
  <si>
    <t>Scope 2 (indirecte emissies)</t>
  </si>
  <si>
    <t>Zonne-ennergie</t>
  </si>
  <si>
    <t>Netto CO2-uitstoot</t>
  </si>
  <si>
    <t>Opgesteld door Nico den Hartog</t>
  </si>
  <si>
    <t>Datum</t>
  </si>
  <si>
    <t>update Jeffrey Bos</t>
  </si>
  <si>
    <t>periode 01/01/2018 tot 31/12/2018</t>
  </si>
  <si>
    <t>Dieselverbruik 2018</t>
  </si>
  <si>
    <t>BP Ultimate Diessel</t>
  </si>
  <si>
    <t>Fuelconsumption (3)</t>
  </si>
  <si>
    <t>BP Cleaner Diesel</t>
  </si>
  <si>
    <t>Document 'FuelSummary 2018'</t>
  </si>
  <si>
    <t>Totalen</t>
  </si>
  <si>
    <t>Totale verbruik</t>
  </si>
  <si>
    <t>Document 'Elektriciteit 2018'</t>
  </si>
  <si>
    <t>Zonne-energie</t>
  </si>
  <si>
    <t>update door Jeffrey Bos</t>
  </si>
  <si>
    <t>periode 01/01/2019 tot 31/12/2019</t>
  </si>
  <si>
    <t>Dieselverbruik 2019</t>
  </si>
  <si>
    <t>Kenteken voertuig</t>
  </si>
  <si>
    <t>Kilometers</t>
  </si>
  <si>
    <t>57-BBV-4 / 000455</t>
  </si>
  <si>
    <t xml:space="preserve">Document 'fuelvolume BP met CO2' </t>
  </si>
  <si>
    <t xml:space="preserve">96-BBT-1 / 000877 </t>
  </si>
  <si>
    <t>32-BHL-5 / 000786</t>
  </si>
  <si>
    <t>VD-157-R / 000380</t>
  </si>
  <si>
    <t>V-646-SK / 000794</t>
  </si>
  <si>
    <t>VG-124-S / 000604</t>
  </si>
  <si>
    <t>V-213-NZ / 000802</t>
  </si>
  <si>
    <t>VL-598-X / 000620</t>
  </si>
  <si>
    <t xml:space="preserve">VR-353-K / 000851 </t>
  </si>
  <si>
    <t>V-470-PZ / 000810</t>
  </si>
  <si>
    <t>VN-541-T / 000687</t>
  </si>
  <si>
    <t>VF-824-N / 000588</t>
  </si>
  <si>
    <t>V-358-VF / 000885</t>
  </si>
  <si>
    <t>VD-505-K / 000844</t>
  </si>
  <si>
    <t>Waspas</t>
  </si>
  <si>
    <t>1. Benzine EURO95</t>
  </si>
  <si>
    <t>2.Gedeclareerde kilometers</t>
  </si>
  <si>
    <t>Ad 1. Benzine Euro95</t>
  </si>
  <si>
    <t>Specificatie per voertuig</t>
  </si>
  <si>
    <t>XB-658-K / 000836</t>
  </si>
  <si>
    <t>RG-340-L / 000745</t>
  </si>
  <si>
    <t>XB-877-F / 000828</t>
  </si>
  <si>
    <t>RG-342-L / 000752</t>
  </si>
  <si>
    <t>83-NGX-4 / 000406</t>
  </si>
  <si>
    <t>RG-343-L / 000760</t>
  </si>
  <si>
    <t>HF-542-F / 000646</t>
  </si>
  <si>
    <t>Totaal KM</t>
  </si>
  <si>
    <t>Ad 2. Geclareerde kilometers</t>
  </si>
  <si>
    <t>Voertuig General Manager</t>
  </si>
  <si>
    <t>Email</t>
  </si>
  <si>
    <t xml:space="preserve">Stadswarmte </t>
  </si>
  <si>
    <t>(periode februari 2019 - december 2019)</t>
  </si>
  <si>
    <t>GJ</t>
  </si>
  <si>
    <t>Stadswarmte</t>
  </si>
  <si>
    <t>Energiestroom</t>
  </si>
  <si>
    <t>1. Zonnenergie</t>
  </si>
  <si>
    <t xml:space="preserve">2. Opladen elektrische auto SK-37-1X </t>
  </si>
  <si>
    <t>Totaal elektraverbruik</t>
  </si>
  <si>
    <t>Ad 1. Specificatie Zonnenergie pand Radioweg 13, Almere</t>
  </si>
  <si>
    <t>Verbruik</t>
  </si>
  <si>
    <t>Document 'Zonnenpanelen 2019</t>
  </si>
  <si>
    <t>Gedeclareerde kilometers</t>
  </si>
  <si>
    <t>Opgesteld door:</t>
  </si>
  <si>
    <t xml:space="preserve"> Nico den Hartog</t>
  </si>
  <si>
    <t>Datum:</t>
  </si>
  <si>
    <t>update</t>
  </si>
  <si>
    <t>Bert Schippers</t>
  </si>
  <si>
    <t>Emissies ingedeeld naar Kantoor versus Opdrachten</t>
  </si>
  <si>
    <t>Opdrachten</t>
  </si>
  <si>
    <t>Kantoor</t>
  </si>
  <si>
    <t>periode 01/01/2020 tot 31/12/2020</t>
  </si>
  <si>
    <t>K M jaar</t>
  </si>
  <si>
    <t>Co2 kg per kilometer</t>
  </si>
  <si>
    <t>VGK-73-L / 000919</t>
  </si>
  <si>
    <t>JL-273-X / 000901</t>
  </si>
  <si>
    <t>leen auto onbekend</t>
  </si>
  <si>
    <t>totaal km</t>
  </si>
  <si>
    <t>Co2 KG uitstoot per km</t>
  </si>
  <si>
    <t>Co2 KG uitstoot per liter</t>
  </si>
  <si>
    <t>KG CO-2</t>
  </si>
  <si>
    <t>KM jaar</t>
  </si>
  <si>
    <t>KG CO per KM</t>
  </si>
  <si>
    <t>zie diesel</t>
  </si>
  <si>
    <t>Totaal KM per jaar</t>
  </si>
  <si>
    <t>(periode februari 2020 - januari 2021)</t>
  </si>
  <si>
    <t>Document elektriciteit_2020</t>
  </si>
  <si>
    <t>Jeffrey Bos</t>
  </si>
  <si>
    <t>Verschillen in 2018 t.o.v. 2017</t>
  </si>
  <si>
    <t>Toename to.v. 2017</t>
  </si>
  <si>
    <t>Afname t.o.v. 2017</t>
  </si>
  <si>
    <t>Toename in 2018 t.o.v. 2017</t>
  </si>
  <si>
    <t>Verschillen in 2019 t.o.v. 2018</t>
  </si>
  <si>
    <t>Afname</t>
  </si>
  <si>
    <t>Toename</t>
  </si>
  <si>
    <t xml:space="preserve">Opladen elektrische auto SK-37-1X </t>
  </si>
  <si>
    <t>Stadwarmte</t>
  </si>
  <si>
    <t>Afname in 2019 t.o.v. 2018</t>
  </si>
  <si>
    <t>Verschillen in 2020 t.o.v. 2019</t>
  </si>
  <si>
    <t>Afnamen</t>
  </si>
  <si>
    <t>kWH</t>
  </si>
  <si>
    <t>Afname in 2020 t.o.v. 2019</t>
  </si>
  <si>
    <t>periode 01/01/2021 tot 31/12/2021</t>
  </si>
  <si>
    <t>Dieselverbruik 2021</t>
  </si>
  <si>
    <t>Kenteken voertuig (bedrijfsbus)</t>
  </si>
  <si>
    <t>Document 'Fuelconsumption (10).xls</t>
  </si>
  <si>
    <t>VL-598-X / 000620 en 000627</t>
  </si>
  <si>
    <t xml:space="preserve">VN-541-T / 000687 </t>
  </si>
  <si>
    <t>32-BLH-56 / 000786</t>
  </si>
  <si>
    <t>VR-353-K / 000851</t>
  </si>
  <si>
    <t>96-BBT-1 / 000877</t>
  </si>
  <si>
    <t>V-358-VF / 000885 en 000950</t>
  </si>
  <si>
    <t>Totaal bedrijfsbussen</t>
  </si>
  <si>
    <t>Kenteken voertuig (personenauto; ook prive gebruik)</t>
  </si>
  <si>
    <t>Geen</t>
  </si>
  <si>
    <t>Specificatie per voertuig (bedrijfsbussen)</t>
  </si>
  <si>
    <t xml:space="preserve">RG-342-L / 000752 </t>
  </si>
  <si>
    <t>VKH-83-Z / 000943</t>
  </si>
  <si>
    <t>Specificatie per voertuig (personenauto's)</t>
  </si>
  <si>
    <t>L-319-DK / 000935</t>
  </si>
  <si>
    <t>N-450-NS / 000968</t>
  </si>
  <si>
    <t>Totaal personenauto's</t>
  </si>
  <si>
    <t>Document 'Gedeclareerde kilometers Mercedes Benz ZB-791-Z 2021'</t>
  </si>
  <si>
    <t>Eenheid</t>
  </si>
  <si>
    <t>3. Opladen elektrische auto N-149-RD</t>
  </si>
  <si>
    <t>elektriciteit_2021-radioweg 13</t>
  </si>
  <si>
    <t>Elektra wagenpark</t>
  </si>
  <si>
    <t>Mercedes Benz ZB-791-Z (Voertuig General Manager)</t>
  </si>
  <si>
    <t>Omschrijving</t>
  </si>
  <si>
    <t>Aantal kilometers</t>
  </si>
  <si>
    <t>CO-2 Emissiefactor</t>
  </si>
  <si>
    <t>kilometers</t>
  </si>
  <si>
    <t>KG CO-2 per Kilometer</t>
  </si>
  <si>
    <t>Verschillen in 2021 t.o.v. 2020</t>
  </si>
  <si>
    <t>Afname in 2021 t.o.v. 2020</t>
  </si>
  <si>
    <t>Document 'Gedeclareerde kilometers 2020'</t>
  </si>
  <si>
    <t>Kilometer</t>
  </si>
  <si>
    <t>KM</t>
  </si>
  <si>
    <t>KM co2 per KM</t>
  </si>
  <si>
    <t>kilometer</t>
  </si>
  <si>
    <t>Gemiddelde</t>
  </si>
  <si>
    <t>-</t>
  </si>
  <si>
    <t>Emissie inventaris Wijngaard Groep 2017 - 2021</t>
  </si>
  <si>
    <t>VKK-99-L / 000976</t>
  </si>
  <si>
    <t>32-BLH-55 / 000984 + 32-BLH-56 / 000786</t>
  </si>
  <si>
    <t>elektriciteit_2022_radioweg</t>
  </si>
  <si>
    <t>Opgewekt Wh</t>
  </si>
  <si>
    <t>Opgewekt kWh</t>
  </si>
  <si>
    <t>periode 01/01/2022 tot 31/12/2022</t>
  </si>
  <si>
    <t>fuel brandstof heel jaar 2022</t>
  </si>
  <si>
    <t>54-BTH-6 / 000992</t>
  </si>
  <si>
    <t xml:space="preserve"> </t>
  </si>
  <si>
    <t>Document 'KM general manager'</t>
  </si>
  <si>
    <t>(periode februari 2022 - januari 2023)</t>
  </si>
  <si>
    <t>Verschillen in 2022 t.o.v. 2021</t>
  </si>
  <si>
    <t>Afname in 2022 t.o.v. 2021</t>
  </si>
  <si>
    <t>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</si>
</sst>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 * #,##0.00_ ;_ * \-#,##0.00_ ;_ * &quot;-&quot;??_ ;_ @_ "/>
    <numFmt numFmtId="164" formatCode="0.000"/>
    <numFmt numFmtId="165" formatCode="_ * #,##0_ ;_ * \-#,##0_ ;_ * &quot;-&quot;??_ ;_ @_ "/>
    <numFmt numFmtId="166" formatCode="#,##0_ ;\-#,##0\ "/>
    <numFmt numFmtId="167" formatCode="0.0%"/>
    <numFmt numFmtId="168" formatCode="#,##0.000"/>
  </numFmts>
  <fonts count="36" x14ac:knownFonts="1">
    <font>
      <sz val="10"/>
      <color rgb="FF00000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theme="0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b/>
      <sz val="11"/>
      <color theme="0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8"/>
      <color indexed="62"/>
      <name val="Arial"/>
      <family val="2"/>
    </font>
    <font>
      <sz val="10"/>
      <color rgb="FF000000"/>
      <name val="Arial"/>
      <family val="2"/>
    </font>
    <font>
      <b/>
      <sz val="18"/>
      <color theme="1"/>
      <name val="Arial"/>
      <family val="2"/>
    </font>
    <font>
      <sz val="11"/>
      <color theme="1"/>
      <name val="Arial"/>
      <family val="2"/>
    </font>
    <font>
      <b/>
      <sz val="14"/>
      <color rgb="FF000000"/>
      <name val="Arial"/>
      <family val="2"/>
    </font>
    <font>
      <i/>
      <sz val="10"/>
      <color rgb="FF000000"/>
      <name val="Arial"/>
      <family val="2"/>
    </font>
    <font>
      <b/>
      <sz val="10"/>
      <color theme="1"/>
      <name val="Arial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sz val="12"/>
      <color rgb="FF373A41"/>
      <name val="Arial"/>
      <family val="2"/>
    </font>
  </fonts>
  <fills count="57">
    <fill>
      <patternFill patternType="none"/>
    </fill>
    <fill>
      <patternFill patternType="gray125"/>
    </fill>
    <fill>
      <patternFill patternType="none"/>
    </fill>
    <fill>
      <patternFill patternType="solid">
        <fgColor theme="1" tint="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60"/>
      </patternFill>
    </fill>
    <fill>
      <patternFill patternType="solid">
        <fgColor indexed="40"/>
      </patternFill>
    </fill>
    <fill>
      <patternFill patternType="solid">
        <fgColor indexed="5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1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91">
    <xf numFmtId="0" fontId="0" fillId="0" borderId="0"/>
    <xf numFmtId="0" fontId="2" fillId="2" borderId="1"/>
    <xf numFmtId="0" fontId="4" fillId="2" borderId="1"/>
    <xf numFmtId="0" fontId="7" fillId="2" borderId="1"/>
    <xf numFmtId="9" fontId="9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2" borderId="1"/>
    <xf numFmtId="43" fontId="15" fillId="2" borderId="1" applyFont="0" applyFill="0" applyBorder="0" applyAlignment="0" applyProtection="0"/>
    <xf numFmtId="0" fontId="16" fillId="6" borderId="1"/>
    <xf numFmtId="0" fontId="22" fillId="14" borderId="1" applyNumberFormat="0" applyBorder="0" applyAlignment="0" applyProtection="0"/>
    <xf numFmtId="0" fontId="23" fillId="15" borderId="1" applyNumberFormat="0" applyBorder="0" applyAlignment="0" applyProtection="0"/>
    <xf numFmtId="0" fontId="23" fillId="16" borderId="1" applyNumberFormat="0" applyBorder="0" applyAlignment="0" applyProtection="0"/>
    <xf numFmtId="0" fontId="22" fillId="17" borderId="1" applyNumberFormat="0" applyBorder="0" applyAlignment="0" applyProtection="0"/>
    <xf numFmtId="0" fontId="22" fillId="18" borderId="1" applyNumberFormat="0" applyBorder="0" applyAlignment="0" applyProtection="0"/>
    <xf numFmtId="0" fontId="23" fillId="19" borderId="1" applyNumberFormat="0" applyBorder="0" applyAlignment="0" applyProtection="0"/>
    <xf numFmtId="0" fontId="23" fillId="20" borderId="1" applyNumberFormat="0" applyBorder="0" applyAlignment="0" applyProtection="0"/>
    <xf numFmtId="0" fontId="22" fillId="21" borderId="1" applyNumberFormat="0" applyBorder="0" applyAlignment="0" applyProtection="0"/>
    <xf numFmtId="0" fontId="22" fillId="22" borderId="1" applyNumberFormat="0" applyBorder="0" applyAlignment="0" applyProtection="0"/>
    <xf numFmtId="0" fontId="23" fillId="23" borderId="1" applyNumberFormat="0" applyBorder="0" applyAlignment="0" applyProtection="0"/>
    <xf numFmtId="0" fontId="23" fillId="24" borderId="1" applyNumberFormat="0" applyBorder="0" applyAlignment="0" applyProtection="0"/>
    <xf numFmtId="0" fontId="22" fillId="25" borderId="1" applyNumberFormat="0" applyBorder="0" applyAlignment="0" applyProtection="0"/>
    <xf numFmtId="0" fontId="22" fillId="26" borderId="1" applyNumberFormat="0" applyBorder="0" applyAlignment="0" applyProtection="0"/>
    <xf numFmtId="0" fontId="23" fillId="19" borderId="1" applyNumberFormat="0" applyBorder="0" applyAlignment="0" applyProtection="0"/>
    <xf numFmtId="0" fontId="23" fillId="27" borderId="1" applyNumberFormat="0" applyBorder="0" applyAlignment="0" applyProtection="0"/>
    <xf numFmtId="0" fontId="22" fillId="20" borderId="1" applyNumberFormat="0" applyBorder="0" applyAlignment="0" applyProtection="0"/>
    <xf numFmtId="0" fontId="22" fillId="17" borderId="1" applyNumberFormat="0" applyBorder="0" applyAlignment="0" applyProtection="0"/>
    <xf numFmtId="0" fontId="23" fillId="28" borderId="1" applyNumberFormat="0" applyBorder="0" applyAlignment="0" applyProtection="0"/>
    <xf numFmtId="0" fontId="23" fillId="29" borderId="1" applyNumberFormat="0" applyBorder="0" applyAlignment="0" applyProtection="0"/>
    <xf numFmtId="0" fontId="22" fillId="17" borderId="1" applyNumberFormat="0" applyBorder="0" applyAlignment="0" applyProtection="0"/>
    <xf numFmtId="0" fontId="22" fillId="30" borderId="1" applyNumberFormat="0" applyBorder="0" applyAlignment="0" applyProtection="0"/>
    <xf numFmtId="0" fontId="23" fillId="31" borderId="1" applyNumberFormat="0" applyBorder="0" applyAlignment="0" applyProtection="0"/>
    <xf numFmtId="0" fontId="23" fillId="32" borderId="1" applyNumberFormat="0" applyBorder="0" applyAlignment="0" applyProtection="0"/>
    <xf numFmtId="0" fontId="22" fillId="33" borderId="1" applyNumberFormat="0" applyBorder="0" applyAlignment="0" applyProtection="0"/>
    <xf numFmtId="0" fontId="24" fillId="34" borderId="1" applyNumberFormat="0" applyBorder="0" applyAlignment="0" applyProtection="0"/>
    <xf numFmtId="0" fontId="24" fillId="35" borderId="1" applyNumberFormat="0" applyBorder="0" applyAlignment="0" applyProtection="0"/>
    <xf numFmtId="0" fontId="24" fillId="36" borderId="1" applyNumberFormat="0" applyBorder="0" applyAlignment="0" applyProtection="0"/>
    <xf numFmtId="4" fontId="16" fillId="37" borderId="10" applyNumberFormat="0" applyProtection="0">
      <alignment vertical="center"/>
    </xf>
    <xf numFmtId="4" fontId="26" fillId="38" borderId="10" applyNumberFormat="0" applyProtection="0">
      <alignment vertical="center"/>
    </xf>
    <xf numFmtId="4" fontId="16" fillId="38" borderId="10" applyNumberFormat="0" applyProtection="0">
      <alignment horizontal="left" vertical="center" indent="1"/>
    </xf>
    <xf numFmtId="0" fontId="19" fillId="37" borderId="11" applyNumberFormat="0" applyProtection="0">
      <alignment horizontal="left" vertical="top" indent="1"/>
    </xf>
    <xf numFmtId="4" fontId="16" fillId="39" borderId="10" applyNumberFormat="0" applyProtection="0">
      <alignment horizontal="left" vertical="center" indent="1"/>
    </xf>
    <xf numFmtId="4" fontId="16" fillId="40" borderId="10" applyNumberFormat="0" applyProtection="0">
      <alignment horizontal="right" vertical="center"/>
    </xf>
    <xf numFmtId="4" fontId="16" fillId="41" borderId="10" applyNumberFormat="0" applyProtection="0">
      <alignment horizontal="right" vertical="center"/>
    </xf>
    <xf numFmtId="4" fontId="16" fillId="42" borderId="12" applyNumberFormat="0" applyProtection="0">
      <alignment horizontal="right" vertical="center"/>
    </xf>
    <xf numFmtId="4" fontId="16" fillId="13" borderId="10" applyNumberFormat="0" applyProtection="0">
      <alignment horizontal="right" vertical="center"/>
    </xf>
    <xf numFmtId="4" fontId="16" fillId="43" borderId="10" applyNumberFormat="0" applyProtection="0">
      <alignment horizontal="right" vertical="center"/>
    </xf>
    <xf numFmtId="4" fontId="16" fillId="44" borderId="10" applyNumberFormat="0" applyProtection="0">
      <alignment horizontal="right" vertical="center"/>
    </xf>
    <xf numFmtId="4" fontId="16" fillId="11" borderId="10" applyNumberFormat="0" applyProtection="0">
      <alignment horizontal="right" vertical="center"/>
    </xf>
    <xf numFmtId="4" fontId="16" fillId="8" borderId="10" applyNumberFormat="0" applyProtection="0">
      <alignment horizontal="right" vertical="center"/>
    </xf>
    <xf numFmtId="4" fontId="16" fillId="45" borderId="10" applyNumberFormat="0" applyProtection="0">
      <alignment horizontal="right" vertical="center"/>
    </xf>
    <xf numFmtId="4" fontId="16" fillId="46" borderId="12" applyNumberFormat="0" applyProtection="0">
      <alignment horizontal="left" vertical="center" indent="1"/>
    </xf>
    <xf numFmtId="4" fontId="13" fillId="12" borderId="12" applyNumberFormat="0" applyProtection="0">
      <alignment horizontal="left" vertical="center" indent="1"/>
    </xf>
    <xf numFmtId="4" fontId="13" fillId="12" borderId="12" applyNumberFormat="0" applyProtection="0">
      <alignment horizontal="left" vertical="center" indent="1"/>
    </xf>
    <xf numFmtId="4" fontId="16" fillId="7" borderId="10" applyNumberFormat="0" applyProtection="0">
      <alignment horizontal="right" vertical="center"/>
    </xf>
    <xf numFmtId="4" fontId="16" fillId="9" borderId="12" applyNumberFormat="0" applyProtection="0">
      <alignment horizontal="left" vertical="center" indent="1"/>
    </xf>
    <xf numFmtId="4" fontId="16" fillId="7" borderId="12" applyNumberFormat="0" applyProtection="0">
      <alignment horizontal="left" vertical="center" indent="1"/>
    </xf>
    <xf numFmtId="0" fontId="16" fillId="10" borderId="10" applyNumberFormat="0" applyProtection="0">
      <alignment horizontal="left" vertical="center" indent="1"/>
    </xf>
    <xf numFmtId="0" fontId="16" fillId="12" borderId="11" applyNumberFormat="0" applyProtection="0">
      <alignment horizontal="left" vertical="top" indent="1"/>
    </xf>
    <xf numFmtId="0" fontId="16" fillId="47" borderId="10" applyNumberFormat="0" applyProtection="0">
      <alignment horizontal="left" vertical="center" indent="1"/>
    </xf>
    <xf numFmtId="0" fontId="16" fillId="7" borderId="11" applyNumberFormat="0" applyProtection="0">
      <alignment horizontal="left" vertical="top" indent="1"/>
    </xf>
    <xf numFmtId="0" fontId="16" fillId="48" borderId="10" applyNumberFormat="0" applyProtection="0">
      <alignment horizontal="left" vertical="center" indent="1"/>
    </xf>
    <xf numFmtId="0" fontId="16" fillId="48" borderId="11" applyNumberFormat="0" applyProtection="0">
      <alignment horizontal="left" vertical="top" indent="1"/>
    </xf>
    <xf numFmtId="0" fontId="16" fillId="9" borderId="10" applyNumberFormat="0" applyProtection="0">
      <alignment horizontal="left" vertical="center" indent="1"/>
    </xf>
    <xf numFmtId="0" fontId="16" fillId="9" borderId="11" applyNumberFormat="0" applyProtection="0">
      <alignment horizontal="left" vertical="top" indent="1"/>
    </xf>
    <xf numFmtId="0" fontId="16" fillId="49" borderId="13" applyNumberFormat="0">
      <protection locked="0"/>
    </xf>
    <xf numFmtId="0" fontId="17" fillId="12" borderId="14" applyBorder="0"/>
    <xf numFmtId="4" fontId="18" fillId="50" borderId="11" applyNumberFormat="0" applyProtection="0">
      <alignment vertical="center"/>
    </xf>
    <xf numFmtId="4" fontId="26" fillId="51" borderId="15" applyNumberFormat="0" applyProtection="0">
      <alignment vertical="center"/>
    </xf>
    <xf numFmtId="4" fontId="18" fillId="10" borderId="11" applyNumberFormat="0" applyProtection="0">
      <alignment horizontal="left" vertical="center" indent="1"/>
    </xf>
    <xf numFmtId="0" fontId="18" fillId="50" borderId="11" applyNumberFormat="0" applyProtection="0">
      <alignment horizontal="left" vertical="top" indent="1"/>
    </xf>
    <xf numFmtId="4" fontId="16" fillId="2" borderId="10" applyNumberFormat="0" applyProtection="0">
      <alignment horizontal="right" vertical="center"/>
    </xf>
    <xf numFmtId="4" fontId="26" fillId="52" borderId="10" applyNumberFormat="0" applyProtection="0">
      <alignment horizontal="right" vertical="center"/>
    </xf>
    <xf numFmtId="4" fontId="16" fillId="39" borderId="10" applyNumberFormat="0" applyProtection="0">
      <alignment horizontal="left" vertical="center" indent="1"/>
    </xf>
    <xf numFmtId="0" fontId="18" fillId="7" borderId="11" applyNumberFormat="0" applyProtection="0">
      <alignment horizontal="left" vertical="top" indent="1"/>
    </xf>
    <xf numFmtId="4" fontId="20" fillId="53" borderId="12" applyNumberFormat="0" applyProtection="0">
      <alignment horizontal="left" vertical="center" indent="1"/>
    </xf>
    <xf numFmtId="0" fontId="16" fillId="54" borderId="15"/>
    <xf numFmtId="4" fontId="21" fillId="49" borderId="10" applyNumberFormat="0" applyProtection="0">
      <alignment horizontal="right" vertical="center"/>
    </xf>
    <xf numFmtId="0" fontId="25" fillId="2" borderId="1" applyNumberFormat="0" applyFill="0" applyBorder="0" applyAlignment="0" applyProtection="0"/>
    <xf numFmtId="43" fontId="27" fillId="0" borderId="0" applyFont="0" applyFill="0" applyBorder="0" applyAlignment="0" applyProtection="0"/>
    <xf numFmtId="0" fontId="34" fillId="2" borderId="1"/>
    <xf numFmtId="0" fontId="1" fillId="2" borderId="1"/>
    <xf numFmtId="0" fontId="4" fillId="2" borderId="1"/>
    <xf numFmtId="0" fontId="34" fillId="2" borderId="1"/>
    <xf numFmtId="0" fontId="34" fillId="2" borderId="1"/>
    <xf numFmtId="0" fontId="34" fillId="2" borderId="1"/>
    <xf numFmtId="0" fontId="4" fillId="2" borderId="1"/>
    <xf numFmtId="43" fontId="4" fillId="2" borderId="1" applyFont="0" applyFill="0" applyBorder="0" applyAlignment="0" applyProtection="0"/>
    <xf numFmtId="9" fontId="4" fillId="2" borderId="1" applyFont="0" applyFill="0" applyBorder="0" applyAlignment="0" applyProtection="0"/>
  </cellStyleXfs>
  <cellXfs count="416">
    <xf numFmtId="0" fontId="0" fillId="0" borderId="0" xfId="0"/>
    <xf numFmtId="0" fontId="0" fillId="2" borderId="1" xfId="0" applyFill="1" applyBorder="1" applyAlignment="1">
      <alignment vertical="center"/>
    </xf>
    <xf numFmtId="0" fontId="4" fillId="0" borderId="0" xfId="0" applyFont="1"/>
    <xf numFmtId="0" fontId="4" fillId="2" borderId="1" xfId="1" applyFont="1"/>
    <xf numFmtId="3" fontId="4" fillId="2" borderId="1" xfId="1" applyNumberFormat="1" applyFont="1" applyAlignment="1">
      <alignment horizontal="right"/>
    </xf>
    <xf numFmtId="0" fontId="4" fillId="2" borderId="1" xfId="0" applyFont="1" applyFill="1" applyBorder="1" applyAlignment="1">
      <alignment vertical="center"/>
    </xf>
    <xf numFmtId="0" fontId="6" fillId="0" borderId="0" xfId="0" applyFont="1"/>
    <xf numFmtId="0" fontId="3" fillId="2" borderId="1" xfId="1" applyFont="1"/>
    <xf numFmtId="0" fontId="0" fillId="0" borderId="4" xfId="0" applyBorder="1"/>
    <xf numFmtId="0" fontId="4" fillId="2" borderId="1" xfId="2"/>
    <xf numFmtId="0" fontId="3" fillId="2" borderId="1" xfId="2" applyFont="1"/>
    <xf numFmtId="164" fontId="3" fillId="2" borderId="1" xfId="2" applyNumberFormat="1" applyFont="1"/>
    <xf numFmtId="0" fontId="4" fillId="0" borderId="5" xfId="0" applyFont="1" applyBorder="1" applyAlignment="1">
      <alignment horizontal="left"/>
    </xf>
    <xf numFmtId="0" fontId="0" fillId="2" borderId="1" xfId="0" applyFill="1" applyBorder="1" applyAlignment="1">
      <alignment horizontal="left" vertical="center"/>
    </xf>
    <xf numFmtId="0" fontId="8" fillId="3" borderId="5" xfId="1" applyFont="1" applyFill="1" applyBorder="1"/>
    <xf numFmtId="0" fontId="4" fillId="2" borderId="6" xfId="0" applyFont="1" applyFill="1" applyBorder="1" applyAlignment="1">
      <alignment vertical="center"/>
    </xf>
    <xf numFmtId="0" fontId="0" fillId="0" borderId="1" xfId="0" applyBorder="1"/>
    <xf numFmtId="0" fontId="0" fillId="0" borderId="7" xfId="0" applyBorder="1"/>
    <xf numFmtId="0" fontId="0" fillId="2" borderId="6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0" borderId="9" xfId="0" applyBorder="1"/>
    <xf numFmtId="0" fontId="4" fillId="2" borderId="8" xfId="0" applyFont="1" applyFill="1" applyBorder="1" applyAlignment="1">
      <alignment vertical="center"/>
    </xf>
    <xf numFmtId="3" fontId="3" fillId="2" borderId="2" xfId="1" applyNumberFormat="1" applyFont="1" applyBorder="1" applyAlignment="1">
      <alignment horizontal="right"/>
    </xf>
    <xf numFmtId="0" fontId="3" fillId="2" borderId="2" xfId="1" applyFont="1" applyBorder="1" applyAlignment="1">
      <alignment horizontal="right"/>
    </xf>
    <xf numFmtId="3" fontId="10" fillId="2" borderId="1" xfId="1" applyNumberFormat="1" applyFont="1"/>
    <xf numFmtId="0" fontId="10" fillId="2" borderId="1" xfId="1" applyFont="1" applyAlignment="1">
      <alignment horizontal="right"/>
    </xf>
    <xf numFmtId="0" fontId="10" fillId="2" borderId="1" xfId="1" applyFont="1"/>
    <xf numFmtId="10" fontId="4" fillId="2" borderId="1" xfId="4" applyNumberFormat="1" applyFont="1" applyFill="1" applyBorder="1"/>
    <xf numFmtId="10" fontId="3" fillId="2" borderId="1" xfId="4" applyNumberFormat="1" applyFont="1" applyFill="1" applyBorder="1"/>
    <xf numFmtId="0" fontId="3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left" vertical="top"/>
    </xf>
    <xf numFmtId="0" fontId="3" fillId="4" borderId="8" xfId="0" applyFont="1" applyFill="1" applyBorder="1" applyAlignment="1">
      <alignment horizontal="left" vertical="center"/>
    </xf>
    <xf numFmtId="0" fontId="8" fillId="3" borderId="3" xfId="1" applyFont="1" applyFill="1" applyBorder="1"/>
    <xf numFmtId="0" fontId="4" fillId="2" borderId="1" xfId="0" applyFont="1" applyFill="1" applyBorder="1" applyAlignment="1">
      <alignment horizontal="left" vertical="center"/>
    </xf>
    <xf numFmtId="0" fontId="4" fillId="4" borderId="6" xfId="0" applyFont="1" applyFill="1" applyBorder="1" applyAlignment="1">
      <alignment horizontal="left"/>
    </xf>
    <xf numFmtId="0" fontId="3" fillId="0" borderId="5" xfId="0" applyFont="1" applyBorder="1" applyAlignment="1">
      <alignment horizontal="left"/>
    </xf>
    <xf numFmtId="3" fontId="4" fillId="4" borderId="7" xfId="0" applyNumberFormat="1" applyFont="1" applyFill="1" applyBorder="1" applyAlignment="1">
      <alignment horizontal="left"/>
    </xf>
    <xf numFmtId="3" fontId="3" fillId="4" borderId="9" xfId="0" applyNumberFormat="1" applyFont="1" applyFill="1" applyBorder="1" applyAlignment="1">
      <alignment horizontal="left"/>
    </xf>
    <xf numFmtId="3" fontId="0" fillId="4" borderId="5" xfId="0" applyNumberFormat="1" applyFill="1" applyBorder="1" applyAlignment="1">
      <alignment horizontal="left"/>
    </xf>
    <xf numFmtId="3" fontId="0" fillId="4" borderId="1" xfId="0" applyNumberFormat="1" applyFill="1" applyBorder="1" applyAlignment="1">
      <alignment horizontal="left"/>
    </xf>
    <xf numFmtId="3" fontId="3" fillId="4" borderId="4" xfId="0" applyNumberFormat="1" applyFont="1" applyFill="1" applyBorder="1" applyAlignment="1">
      <alignment horizontal="left"/>
    </xf>
    <xf numFmtId="0" fontId="0" fillId="2" borderId="4" xfId="0" applyFill="1" applyBorder="1" applyAlignment="1">
      <alignment horizontal="left" vertical="center"/>
    </xf>
    <xf numFmtId="0" fontId="13" fillId="2" borderId="4" xfId="0" applyFont="1" applyFill="1" applyBorder="1"/>
    <xf numFmtId="0" fontId="3" fillId="0" borderId="0" xfId="0" applyFont="1" applyAlignment="1">
      <alignment vertical="top"/>
    </xf>
    <xf numFmtId="0" fontId="4" fillId="0" borderId="1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3" fillId="0" borderId="6" xfId="0" applyFont="1" applyBorder="1" applyAlignment="1">
      <alignment vertical="center"/>
    </xf>
    <xf numFmtId="0" fontId="3" fillId="5" borderId="8" xfId="0" applyFont="1" applyFill="1" applyBorder="1" applyAlignment="1">
      <alignment vertical="center"/>
    </xf>
    <xf numFmtId="0" fontId="3" fillId="5" borderId="9" xfId="0" applyFont="1" applyFill="1" applyBorder="1" applyAlignment="1">
      <alignment horizontal="left"/>
    </xf>
    <xf numFmtId="0" fontId="3" fillId="2" borderId="1" xfId="9" applyFont="1" applyAlignment="1">
      <alignment vertical="center"/>
    </xf>
    <xf numFmtId="3" fontId="3" fillId="2" borderId="1" xfId="1" applyNumberFormat="1" applyFont="1" applyAlignment="1">
      <alignment horizontal="right"/>
    </xf>
    <xf numFmtId="165" fontId="0" fillId="0" borderId="4" xfId="81" applyNumberFormat="1" applyFont="1" applyBorder="1"/>
    <xf numFmtId="0" fontId="5" fillId="55" borderId="1" xfId="1" applyFont="1" applyFill="1"/>
    <xf numFmtId="0" fontId="29" fillId="2" borderId="1" xfId="1" applyFont="1"/>
    <xf numFmtId="0" fontId="10" fillId="2" borderId="16" xfId="1" applyFont="1" applyBorder="1"/>
    <xf numFmtId="0" fontId="10" fillId="2" borderId="17" xfId="1" applyFont="1" applyBorder="1" applyAlignment="1">
      <alignment horizontal="left" vertical="center"/>
    </xf>
    <xf numFmtId="0" fontId="10" fillId="2" borderId="6" xfId="1" applyFont="1" applyBorder="1"/>
    <xf numFmtId="14" fontId="10" fillId="2" borderId="7" xfId="1" applyNumberFormat="1" applyFont="1" applyBorder="1" applyAlignment="1">
      <alignment horizontal="left" vertical="center"/>
    </xf>
    <xf numFmtId="0" fontId="10" fillId="2" borderId="7" xfId="1" applyFont="1" applyBorder="1" applyAlignment="1">
      <alignment horizontal="left" vertical="center"/>
    </xf>
    <xf numFmtId="0" fontId="10" fillId="2" borderId="8" xfId="1" applyFont="1" applyBorder="1"/>
    <xf numFmtId="14" fontId="10" fillId="2" borderId="9" xfId="1" applyNumberFormat="1" applyFont="1" applyBorder="1" applyAlignment="1">
      <alignment horizontal="left" vertical="center"/>
    </xf>
    <xf numFmtId="0" fontId="4" fillId="2" borderId="6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3" fontId="0" fillId="0" borderId="1" xfId="0" applyNumberFormat="1" applyBorder="1"/>
    <xf numFmtId="0" fontId="3" fillId="0" borderId="0" xfId="0" applyFont="1"/>
    <xf numFmtId="0" fontId="3" fillId="0" borderId="1" xfId="0" applyFont="1" applyBorder="1"/>
    <xf numFmtId="0" fontId="4" fillId="0" borderId="0" xfId="0" applyFont="1" applyAlignment="1">
      <alignment wrapText="1"/>
    </xf>
    <xf numFmtId="0" fontId="3" fillId="2" borderId="6" xfId="0" applyFont="1" applyFill="1" applyBorder="1" applyAlignment="1">
      <alignment vertical="center"/>
    </xf>
    <xf numFmtId="0" fontId="8" fillId="3" borderId="1" xfId="1" applyFont="1" applyFill="1"/>
    <xf numFmtId="0" fontId="3" fillId="2" borderId="6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left" vertical="center" wrapText="1"/>
    </xf>
    <xf numFmtId="0" fontId="13" fillId="0" borderId="6" xfId="0" applyFont="1" applyBorder="1" applyAlignment="1">
      <alignment vertical="center" wrapText="1"/>
    </xf>
    <xf numFmtId="3" fontId="4" fillId="0" borderId="1" xfId="0" applyNumberFormat="1" applyFont="1" applyBorder="1"/>
    <xf numFmtId="43" fontId="4" fillId="0" borderId="0" xfId="81" applyFont="1" applyAlignment="1">
      <alignment horizontal="right"/>
    </xf>
    <xf numFmtId="165" fontId="0" fillId="0" borderId="1" xfId="81" applyNumberFormat="1" applyFont="1" applyBorder="1"/>
    <xf numFmtId="165" fontId="0" fillId="0" borderId="0" xfId="81" applyNumberFormat="1" applyFont="1"/>
    <xf numFmtId="165" fontId="3" fillId="0" borderId="0" xfId="81" applyNumberFormat="1" applyFont="1"/>
    <xf numFmtId="165" fontId="0" fillId="2" borderId="4" xfId="81" applyNumberFormat="1" applyFont="1" applyFill="1" applyBorder="1"/>
    <xf numFmtId="165" fontId="8" fillId="3" borderId="3" xfId="81" applyNumberFormat="1" applyFont="1" applyFill="1" applyBorder="1"/>
    <xf numFmtId="165" fontId="0" fillId="0" borderId="0" xfId="81" applyNumberFormat="1" applyFont="1" applyAlignment="1">
      <alignment vertical="center"/>
    </xf>
    <xf numFmtId="3" fontId="0" fillId="0" borderId="1" xfId="0" applyNumberFormat="1" applyBorder="1" applyAlignment="1">
      <alignment vertical="center"/>
    </xf>
    <xf numFmtId="0" fontId="0" fillId="0" borderId="7" xfId="0" applyBorder="1" applyAlignment="1">
      <alignment vertical="center"/>
    </xf>
    <xf numFmtId="0" fontId="4" fillId="0" borderId="0" xfId="0" applyFont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3" fontId="3" fillId="0" borderId="1" xfId="0" applyNumberFormat="1" applyFont="1" applyBorder="1"/>
    <xf numFmtId="0" fontId="3" fillId="0" borderId="7" xfId="0" applyFont="1" applyBorder="1"/>
    <xf numFmtId="0" fontId="3" fillId="2" borderId="1" xfId="0" applyFont="1" applyFill="1" applyBorder="1" applyAlignment="1">
      <alignment horizontal="left" vertical="center"/>
    </xf>
    <xf numFmtId="3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4" xfId="0" applyFont="1" applyBorder="1"/>
    <xf numFmtId="165" fontId="3" fillId="0" borderId="0" xfId="0" applyNumberFormat="1" applyFont="1"/>
    <xf numFmtId="0" fontId="4" fillId="2" borderId="6" xfId="0" applyFont="1" applyFill="1" applyBorder="1" applyAlignment="1">
      <alignment horizontal="left" vertical="center"/>
    </xf>
    <xf numFmtId="165" fontId="13" fillId="0" borderId="1" xfId="81" applyNumberFormat="1" applyFont="1" applyBorder="1"/>
    <xf numFmtId="10" fontId="3" fillId="2" borderId="1" xfId="1" applyNumberFormat="1" applyFont="1"/>
    <xf numFmtId="17" fontId="0" fillId="0" borderId="0" xfId="0" applyNumberFormat="1"/>
    <xf numFmtId="0" fontId="14" fillId="0" borderId="0" xfId="0" applyFo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4" fillId="2" borderId="1" xfId="3" applyFont="1"/>
    <xf numFmtId="0" fontId="5" fillId="3" borderId="16" xfId="2" applyFont="1" applyFill="1" applyBorder="1"/>
    <xf numFmtId="0" fontId="5" fillId="3" borderId="5" xfId="3" applyFont="1" applyFill="1" applyBorder="1"/>
    <xf numFmtId="0" fontId="5" fillId="3" borderId="5" xfId="2" applyFont="1" applyFill="1" applyBorder="1"/>
    <xf numFmtId="0" fontId="5" fillId="3" borderId="17" xfId="3" applyFont="1" applyFill="1" applyBorder="1" applyAlignment="1">
      <alignment horizontal="right"/>
    </xf>
    <xf numFmtId="0" fontId="4" fillId="2" borderId="6" xfId="3" applyFont="1" applyBorder="1"/>
    <xf numFmtId="165" fontId="4" fillId="2" borderId="1" xfId="81" applyNumberFormat="1" applyFont="1" applyFill="1" applyBorder="1"/>
    <xf numFmtId="0" fontId="7" fillId="2" borderId="1" xfId="3"/>
    <xf numFmtId="0" fontId="4" fillId="2" borderId="7" xfId="81" applyNumberFormat="1" applyFont="1" applyFill="1" applyBorder="1"/>
    <xf numFmtId="0" fontId="4" fillId="2" borderId="1" xfId="81" applyNumberFormat="1" applyFont="1" applyFill="1" applyBorder="1"/>
    <xf numFmtId="0" fontId="0" fillId="0" borderId="0" xfId="0" applyAlignment="1">
      <alignment horizontal="center" vertical="top" wrapText="1"/>
    </xf>
    <xf numFmtId="0" fontId="6" fillId="0" borderId="0" xfId="0" applyFont="1" applyAlignment="1">
      <alignment horizontal="left" vertical="top"/>
    </xf>
    <xf numFmtId="0" fontId="3" fillId="2" borderId="1" xfId="9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2" borderId="1" xfId="0" applyFill="1" applyBorder="1" applyAlignment="1">
      <alignment horizontal="left" vertical="top"/>
    </xf>
    <xf numFmtId="0" fontId="3" fillId="2" borderId="1" xfId="2" applyFont="1" applyAlignment="1">
      <alignment horizontal="left" vertical="top"/>
    </xf>
    <xf numFmtId="164" fontId="3" fillId="2" borderId="1" xfId="2" applyNumberFormat="1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4" borderId="6" xfId="0" applyFont="1" applyFill="1" applyBorder="1" applyAlignment="1">
      <alignment horizontal="left" vertical="top"/>
    </xf>
    <xf numFmtId="0" fontId="3" fillId="4" borderId="8" xfId="0" applyFont="1" applyFill="1" applyBorder="1" applyAlignment="1">
      <alignment horizontal="left" vertical="top"/>
    </xf>
    <xf numFmtId="0" fontId="8" fillId="3" borderId="5" xfId="1" applyFont="1" applyFill="1" applyBorder="1" applyAlignment="1">
      <alignment horizontal="left" vertical="top"/>
    </xf>
    <xf numFmtId="0" fontId="4" fillId="2" borderId="18" xfId="0" applyFont="1" applyFill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/>
    </xf>
    <xf numFmtId="3" fontId="0" fillId="0" borderId="18" xfId="0" applyNumberFormat="1" applyBorder="1" applyAlignment="1">
      <alignment horizontal="center" vertical="top"/>
    </xf>
    <xf numFmtId="3" fontId="0" fillId="0" borderId="0" xfId="0" applyNumberFormat="1" applyAlignment="1">
      <alignment horizontal="center"/>
    </xf>
    <xf numFmtId="0" fontId="0" fillId="0" borderId="7" xfId="0" applyBorder="1" applyAlignment="1">
      <alignment horizontal="center"/>
    </xf>
    <xf numFmtId="3" fontId="3" fillId="5" borderId="8" xfId="0" applyNumberFormat="1" applyFont="1" applyFill="1" applyBorder="1" applyAlignment="1">
      <alignment horizontal="center" vertical="center"/>
    </xf>
    <xf numFmtId="3" fontId="3" fillId="5" borderId="19" xfId="0" applyNumberFormat="1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3" fontId="4" fillId="2" borderId="18" xfId="0" applyNumberFormat="1" applyFont="1" applyFill="1" applyBorder="1" applyAlignment="1">
      <alignment horizontal="center" vertical="top" wrapText="1"/>
    </xf>
    <xf numFmtId="0" fontId="5" fillId="3" borderId="16" xfId="2" applyFont="1" applyFill="1" applyBorder="1" applyAlignment="1">
      <alignment wrapText="1"/>
    </xf>
    <xf numFmtId="0" fontId="5" fillId="3" borderId="5" xfId="3" applyFont="1" applyFill="1" applyBorder="1" applyAlignment="1">
      <alignment vertical="top"/>
    </xf>
    <xf numFmtId="0" fontId="3" fillId="0" borderId="0" xfId="0" applyFont="1" applyAlignment="1">
      <alignment horizontal="center" wrapText="1"/>
    </xf>
    <xf numFmtId="0" fontId="4" fillId="2" borderId="6" xfId="3" applyFont="1" applyBorder="1" applyAlignment="1">
      <alignment wrapText="1"/>
    </xf>
    <xf numFmtId="166" fontId="4" fillId="2" borderId="1" xfId="81" applyNumberFormat="1" applyFont="1" applyFill="1" applyBorder="1" applyAlignment="1">
      <alignment horizontal="center" vertical="top"/>
    </xf>
    <xf numFmtId="1" fontId="0" fillId="0" borderId="1" xfId="0" applyNumberFormat="1" applyBorder="1" applyAlignment="1">
      <alignment vertical="center"/>
    </xf>
    <xf numFmtId="0" fontId="4" fillId="0" borderId="1" xfId="0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8" fillId="3" borderId="3" xfId="1" applyFont="1" applyFill="1" applyBorder="1" applyAlignment="1">
      <alignment horizontal="center"/>
    </xf>
    <xf numFmtId="0" fontId="3" fillId="2" borderId="1" xfId="0" applyFont="1" applyFill="1" applyBorder="1" applyAlignment="1">
      <alignment horizontal="left" vertical="top" wrapText="1"/>
    </xf>
    <xf numFmtId="0" fontId="4" fillId="2" borderId="6" xfId="3" applyFont="1" applyBorder="1" applyAlignment="1">
      <alignment vertical="center" wrapText="1"/>
    </xf>
    <xf numFmtId="166" fontId="4" fillId="2" borderId="1" xfId="81" applyNumberFormat="1" applyFont="1" applyFill="1" applyBorder="1" applyAlignment="1">
      <alignment horizontal="center" vertical="center"/>
    </xf>
    <xf numFmtId="0" fontId="4" fillId="2" borderId="1" xfId="3" applyFont="1" applyAlignment="1">
      <alignment horizontal="center"/>
    </xf>
    <xf numFmtId="0" fontId="4" fillId="2" borderId="7" xfId="81" applyNumberFormat="1" applyFont="1" applyFill="1" applyBorder="1" applyAlignment="1">
      <alignment horizontal="center"/>
    </xf>
    <xf numFmtId="165" fontId="4" fillId="2" borderId="7" xfId="81" applyNumberFormat="1" applyFont="1" applyFill="1" applyBorder="1" applyAlignment="1">
      <alignment horizontal="center"/>
    </xf>
    <xf numFmtId="0" fontId="7" fillId="2" borderId="1" xfId="3" applyAlignment="1">
      <alignment horizontal="center"/>
    </xf>
    <xf numFmtId="0" fontId="7" fillId="2" borderId="1" xfId="3" applyAlignment="1">
      <alignment horizontal="center" vertical="center"/>
    </xf>
    <xf numFmtId="1" fontId="4" fillId="2" borderId="7" xfId="81" applyNumberFormat="1" applyFont="1" applyFill="1" applyBorder="1" applyAlignment="1">
      <alignment horizontal="center" vertical="center"/>
    </xf>
    <xf numFmtId="0" fontId="4" fillId="2" borderId="1" xfId="1" applyFont="1" applyAlignment="1">
      <alignment wrapText="1"/>
    </xf>
    <xf numFmtId="3" fontId="4" fillId="0" borderId="7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3" fontId="3" fillId="5" borderId="9" xfId="0" applyNumberFormat="1" applyFont="1" applyFill="1" applyBorder="1" applyAlignment="1">
      <alignment horizontal="center" vertical="center"/>
    </xf>
    <xf numFmtId="164" fontId="3" fillId="2" borderId="1" xfId="2" applyNumberFormat="1" applyFont="1" applyAlignment="1">
      <alignment horizontal="center"/>
    </xf>
    <xf numFmtId="3" fontId="3" fillId="4" borderId="8" xfId="0" applyNumberFormat="1" applyFont="1" applyFill="1" applyBorder="1" applyAlignment="1">
      <alignment horizontal="center" vertical="center"/>
    </xf>
    <xf numFmtId="3" fontId="3" fillId="4" borderId="19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4" borderId="8" xfId="0" applyFont="1" applyFill="1" applyBorder="1" applyAlignment="1">
      <alignment horizontal="left" vertical="center" wrapText="1"/>
    </xf>
    <xf numFmtId="0" fontId="5" fillId="3" borderId="16" xfId="2" applyFont="1" applyFill="1" applyBorder="1" applyAlignment="1">
      <alignment vertical="center"/>
    </xf>
    <xf numFmtId="0" fontId="5" fillId="3" borderId="5" xfId="3" applyFont="1" applyFill="1" applyBorder="1" applyAlignment="1">
      <alignment horizontal="center" vertical="center"/>
    </xf>
    <xf numFmtId="0" fontId="5" fillId="3" borderId="5" xfId="3" applyFont="1" applyFill="1" applyBorder="1" applyAlignment="1">
      <alignment vertical="center"/>
    </xf>
    <xf numFmtId="0" fontId="5" fillId="3" borderId="5" xfId="2" applyFont="1" applyFill="1" applyBorder="1" applyAlignment="1">
      <alignment vertical="center" wrapText="1"/>
    </xf>
    <xf numFmtId="0" fontId="5" fillId="3" borderId="17" xfId="3" applyFont="1" applyFill="1" applyBorder="1" applyAlignment="1">
      <alignment horizontal="center" vertical="center"/>
    </xf>
    <xf numFmtId="3" fontId="4" fillId="0" borderId="18" xfId="0" applyNumberFormat="1" applyFont="1" applyBorder="1" applyAlignment="1">
      <alignment horizontal="center" vertical="top"/>
    </xf>
    <xf numFmtId="0" fontId="3" fillId="0" borderId="5" xfId="0" applyFont="1" applyBorder="1" applyAlignment="1">
      <alignment horizontal="center" vertical="center"/>
    </xf>
    <xf numFmtId="3" fontId="4" fillId="4" borderId="20" xfId="0" applyNumberFormat="1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center" vertical="center"/>
    </xf>
    <xf numFmtId="0" fontId="8" fillId="3" borderId="5" xfId="1" applyFont="1" applyFill="1" applyBorder="1" applyAlignment="1">
      <alignment horizontal="center" vertical="top"/>
    </xf>
    <xf numFmtId="0" fontId="0" fillId="0" borderId="1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4" fillId="2" borderId="1" xfId="0" applyFont="1" applyFill="1" applyBorder="1"/>
    <xf numFmtId="3" fontId="0" fillId="0" borderId="18" xfId="0" applyNumberFormat="1" applyBorder="1" applyAlignment="1">
      <alignment horizontal="left" vertical="top"/>
    </xf>
    <xf numFmtId="3" fontId="0" fillId="0" borderId="19" xfId="0" applyNumberFormat="1" applyBorder="1" applyAlignment="1">
      <alignment horizontal="left" vertical="top"/>
    </xf>
    <xf numFmtId="3" fontId="4" fillId="0" borderId="18" xfId="0" applyNumberFormat="1" applyFont="1" applyBorder="1" applyAlignment="1">
      <alignment horizontal="left" vertical="top"/>
    </xf>
    <xf numFmtId="4" fontId="0" fillId="0" borderId="0" xfId="0" applyNumberFormat="1"/>
    <xf numFmtId="4" fontId="33" fillId="0" borderId="0" xfId="0" applyNumberFormat="1" applyFont="1"/>
    <xf numFmtId="0" fontId="8" fillId="3" borderId="1" xfId="1" applyFont="1" applyFill="1" applyAlignment="1">
      <alignment horizontal="center" vertical="top"/>
    </xf>
    <xf numFmtId="3" fontId="0" fillId="0" borderId="1" xfId="0" applyNumberFormat="1" applyBorder="1" applyAlignment="1">
      <alignment horizontal="left" vertical="top"/>
    </xf>
    <xf numFmtId="4" fontId="4" fillId="2" borderId="1" xfId="0" applyNumberFormat="1" applyFont="1" applyFill="1" applyBorder="1" applyAlignment="1">
      <alignment horizontal="center" vertical="top" wrapText="1"/>
    </xf>
    <xf numFmtId="0" fontId="34" fillId="2" borderId="1" xfId="82" applyAlignment="1">
      <alignment horizontal="left" vertical="top"/>
    </xf>
    <xf numFmtId="4" fontId="34" fillId="2" borderId="1" xfId="82" applyNumberFormat="1"/>
    <xf numFmtId="0" fontId="4" fillId="2" borderId="1" xfId="82" applyFont="1"/>
    <xf numFmtId="3" fontId="34" fillId="2" borderId="1" xfId="82" applyNumberFormat="1" applyAlignment="1">
      <alignment horizontal="left" vertical="top"/>
    </xf>
    <xf numFmtId="0" fontId="8" fillId="3" borderId="5" xfId="83" applyFont="1" applyFill="1" applyBorder="1" applyAlignment="1">
      <alignment horizontal="center" vertical="top"/>
    </xf>
    <xf numFmtId="0" fontId="8" fillId="3" borderId="5" xfId="83" applyFont="1" applyFill="1" applyBorder="1" applyAlignment="1">
      <alignment horizontal="left" vertical="top"/>
    </xf>
    <xf numFmtId="0" fontId="5" fillId="3" borderId="16" xfId="83" applyFont="1" applyFill="1" applyBorder="1" applyAlignment="1">
      <alignment horizontal="left" vertical="top"/>
    </xf>
    <xf numFmtId="3" fontId="3" fillId="4" borderId="19" xfId="82" applyNumberFormat="1" applyFont="1" applyFill="1" applyBorder="1" applyAlignment="1">
      <alignment horizontal="center" vertical="center"/>
    </xf>
    <xf numFmtId="3" fontId="3" fillId="4" borderId="8" xfId="82" applyNumberFormat="1" applyFont="1" applyFill="1" applyBorder="1" applyAlignment="1">
      <alignment horizontal="center" vertical="center"/>
    </xf>
    <xf numFmtId="0" fontId="3" fillId="4" borderId="8" xfId="82" applyFont="1" applyFill="1" applyBorder="1" applyAlignment="1">
      <alignment horizontal="left" vertical="top"/>
    </xf>
    <xf numFmtId="0" fontId="4" fillId="4" borderId="21" xfId="82" applyFont="1" applyFill="1" applyBorder="1" applyAlignment="1">
      <alignment horizontal="center" vertical="center"/>
    </xf>
    <xf numFmtId="0" fontId="4" fillId="4" borderId="6" xfId="82" applyFont="1" applyFill="1" applyBorder="1" applyAlignment="1">
      <alignment horizontal="center" vertical="center"/>
    </xf>
    <xf numFmtId="0" fontId="4" fillId="4" borderId="6" xfId="82" applyFont="1" applyFill="1" applyBorder="1" applyAlignment="1">
      <alignment horizontal="left" vertical="top"/>
    </xf>
    <xf numFmtId="3" fontId="4" fillId="4" borderId="20" xfId="82" applyNumberFormat="1" applyFont="1" applyFill="1" applyBorder="1" applyAlignment="1">
      <alignment horizontal="center" vertical="center"/>
    </xf>
    <xf numFmtId="3" fontId="4" fillId="4" borderId="16" xfId="82" applyNumberFormat="1" applyFont="1" applyFill="1" applyBorder="1" applyAlignment="1">
      <alignment horizontal="center" vertical="center"/>
    </xf>
    <xf numFmtId="0" fontId="4" fillId="4" borderId="16" xfId="82" applyFont="1" applyFill="1" applyBorder="1" applyAlignment="1">
      <alignment horizontal="left" vertical="top"/>
    </xf>
    <xf numFmtId="0" fontId="3" fillId="2" borderId="17" xfId="82" applyFont="1" applyBorder="1" applyAlignment="1">
      <alignment horizontal="center" vertical="center"/>
    </xf>
    <xf numFmtId="0" fontId="3" fillId="2" borderId="5" xfId="82" applyFont="1" applyBorder="1" applyAlignment="1">
      <alignment horizontal="center" vertical="center"/>
    </xf>
    <xf numFmtId="0" fontId="3" fillId="2" borderId="16" xfId="82" applyFont="1" applyBorder="1" applyAlignment="1">
      <alignment horizontal="left" vertical="top"/>
    </xf>
    <xf numFmtId="0" fontId="4" fillId="2" borderId="1" xfId="82" applyFont="1" applyAlignment="1">
      <alignment horizontal="left" vertical="top"/>
    </xf>
    <xf numFmtId="0" fontId="6" fillId="2" borderId="1" xfId="82" applyFont="1" applyAlignment="1">
      <alignment horizontal="left" vertical="top"/>
    </xf>
    <xf numFmtId="0" fontId="3" fillId="2" borderId="1" xfId="84" applyFont="1" applyAlignment="1">
      <alignment horizontal="left" vertical="top"/>
    </xf>
    <xf numFmtId="0" fontId="34" fillId="2" borderId="1" xfId="85"/>
    <xf numFmtId="3" fontId="3" fillId="5" borderId="19" xfId="85" applyNumberFormat="1" applyFont="1" applyFill="1" applyBorder="1" applyAlignment="1">
      <alignment horizontal="center" vertical="center"/>
    </xf>
    <xf numFmtId="3" fontId="3" fillId="5" borderId="8" xfId="85" applyNumberFormat="1" applyFont="1" applyFill="1" applyBorder="1" applyAlignment="1">
      <alignment horizontal="center" vertical="center"/>
    </xf>
    <xf numFmtId="0" fontId="3" fillId="5" borderId="8" xfId="85" applyFont="1" applyFill="1" applyBorder="1" applyAlignment="1">
      <alignment vertical="center"/>
    </xf>
    <xf numFmtId="0" fontId="34" fillId="2" borderId="7" xfId="85" applyBorder="1" applyAlignment="1">
      <alignment horizontal="center"/>
    </xf>
    <xf numFmtId="0" fontId="34" fillId="2" borderId="1" xfId="85" applyAlignment="1">
      <alignment horizontal="center"/>
    </xf>
    <xf numFmtId="0" fontId="3" fillId="2" borderId="6" xfId="85" applyFont="1" applyBorder="1" applyAlignment="1">
      <alignment vertical="center"/>
    </xf>
    <xf numFmtId="3" fontId="34" fillId="2" borderId="7" xfId="85" applyNumberFormat="1" applyBorder="1" applyAlignment="1">
      <alignment horizontal="center"/>
    </xf>
    <xf numFmtId="0" fontId="3" fillId="2" borderId="17" xfId="85" applyFont="1" applyBorder="1" applyAlignment="1">
      <alignment horizontal="center"/>
    </xf>
    <xf numFmtId="0" fontId="3" fillId="2" borderId="5" xfId="85" applyFont="1" applyBorder="1" applyAlignment="1">
      <alignment horizontal="center"/>
    </xf>
    <xf numFmtId="0" fontId="3" fillId="2" borderId="16" xfId="85" applyFont="1" applyBorder="1" applyAlignment="1">
      <alignment vertical="center"/>
    </xf>
    <xf numFmtId="0" fontId="6" fillId="2" borderId="1" xfId="85" applyFont="1"/>
    <xf numFmtId="0" fontId="34" fillId="2" borderId="1" xfId="85" applyAlignment="1">
      <alignment vertical="center"/>
    </xf>
    <xf numFmtId="0" fontId="34" fillId="2" borderId="1" xfId="86"/>
    <xf numFmtId="0" fontId="34" fillId="2" borderId="1" xfId="86" applyAlignment="1">
      <alignment horizontal="left" vertical="top"/>
    </xf>
    <xf numFmtId="4" fontId="34" fillId="2" borderId="1" xfId="86" applyNumberFormat="1"/>
    <xf numFmtId="0" fontId="4" fillId="2" borderId="1" xfId="86" applyFont="1"/>
    <xf numFmtId="4" fontId="33" fillId="2" borderId="1" xfId="86" applyNumberFormat="1" applyFont="1"/>
    <xf numFmtId="4" fontId="4" fillId="2" borderId="1" xfId="86" applyNumberFormat="1" applyFont="1" applyAlignment="1">
      <alignment horizontal="center" vertical="top" wrapText="1"/>
    </xf>
    <xf numFmtId="0" fontId="3" fillId="2" borderId="1" xfId="86" applyFont="1" applyAlignment="1">
      <alignment horizontal="left" vertical="top" wrapText="1"/>
    </xf>
    <xf numFmtId="3" fontId="34" fillId="2" borderId="1" xfId="86" applyNumberFormat="1" applyAlignment="1">
      <alignment horizontal="left" vertical="top"/>
    </xf>
    <xf numFmtId="0" fontId="3" fillId="2" borderId="1" xfId="86" applyFont="1" applyAlignment="1">
      <alignment vertical="center"/>
    </xf>
    <xf numFmtId="3" fontId="3" fillId="5" borderId="19" xfId="86" applyNumberFormat="1" applyFont="1" applyFill="1" applyBorder="1" applyAlignment="1">
      <alignment horizontal="center" vertical="center"/>
    </xf>
    <xf numFmtId="3" fontId="3" fillId="5" borderId="8" xfId="86" applyNumberFormat="1" applyFont="1" applyFill="1" applyBorder="1" applyAlignment="1">
      <alignment horizontal="center" vertical="center"/>
    </xf>
    <xf numFmtId="0" fontId="3" fillId="5" borderId="8" xfId="86" applyFont="1" applyFill="1" applyBorder="1" applyAlignment="1">
      <alignment vertical="center"/>
    </xf>
    <xf numFmtId="0" fontId="34" fillId="2" borderId="7" xfId="86" applyBorder="1" applyAlignment="1">
      <alignment horizontal="center"/>
    </xf>
    <xf numFmtId="0" fontId="34" fillId="2" borderId="1" xfId="86" applyAlignment="1">
      <alignment horizontal="center"/>
    </xf>
    <xf numFmtId="0" fontId="3" fillId="2" borderId="6" xfId="86" applyFont="1" applyBorder="1" applyAlignment="1">
      <alignment vertical="center"/>
    </xf>
    <xf numFmtId="3" fontId="34" fillId="2" borderId="7" xfId="86" applyNumberFormat="1" applyBorder="1" applyAlignment="1">
      <alignment horizontal="center"/>
    </xf>
    <xf numFmtId="3" fontId="34" fillId="2" borderId="1" xfId="86" applyNumberFormat="1" applyAlignment="1">
      <alignment horizontal="center"/>
    </xf>
    <xf numFmtId="0" fontId="3" fillId="2" borderId="17" xfId="86" applyFont="1" applyBorder="1" applyAlignment="1">
      <alignment horizontal="center"/>
    </xf>
    <xf numFmtId="0" fontId="3" fillId="2" borderId="5" xfId="86" applyFont="1" applyBorder="1" applyAlignment="1">
      <alignment horizontal="center"/>
    </xf>
    <xf numFmtId="0" fontId="3" fillId="2" borderId="16" xfId="86" applyFont="1" applyBorder="1" applyAlignment="1">
      <alignment vertical="center"/>
    </xf>
    <xf numFmtId="0" fontId="34" fillId="2" borderId="1" xfId="86" applyAlignment="1">
      <alignment vertical="center"/>
    </xf>
    <xf numFmtId="0" fontId="3" fillId="2" borderId="1" xfId="84" applyFont="1" applyAlignment="1">
      <alignment vertical="center"/>
    </xf>
    <xf numFmtId="0" fontId="6" fillId="2" borderId="1" xfId="86" applyFont="1"/>
    <xf numFmtId="0" fontId="34" fillId="2" borderId="1" xfId="87"/>
    <xf numFmtId="0" fontId="4" fillId="2" borderId="1" xfId="87" applyFont="1"/>
    <xf numFmtId="0" fontId="14" fillId="2" borderId="1" xfId="87" applyFont="1"/>
    <xf numFmtId="0" fontId="3" fillId="2" borderId="1" xfId="87" applyFont="1" applyAlignment="1">
      <alignment horizontal="center"/>
    </xf>
    <xf numFmtId="0" fontId="14" fillId="2" borderId="1" xfId="87" applyFont="1" applyAlignment="1">
      <alignment horizontal="center"/>
    </xf>
    <xf numFmtId="3" fontId="34" fillId="2" borderId="1" xfId="87" applyNumberFormat="1" applyAlignment="1">
      <alignment horizontal="center"/>
    </xf>
    <xf numFmtId="17" fontId="34" fillId="2" borderId="1" xfId="87" applyNumberFormat="1"/>
    <xf numFmtId="0" fontId="3" fillId="2" borderId="1" xfId="87" applyFont="1" applyAlignment="1">
      <alignment horizontal="left"/>
    </xf>
    <xf numFmtId="0" fontId="3" fillId="2" borderId="1" xfId="87" applyFont="1" applyAlignment="1">
      <alignment horizontal="center" wrapText="1"/>
    </xf>
    <xf numFmtId="0" fontId="5" fillId="3" borderId="5" xfId="88" applyFont="1" applyFill="1" applyBorder="1"/>
    <xf numFmtId="0" fontId="5" fillId="3" borderId="5" xfId="88" applyFont="1" applyFill="1" applyBorder="1" applyAlignment="1">
      <alignment vertical="top"/>
    </xf>
    <xf numFmtId="165" fontId="4" fillId="2" borderId="1" xfId="89" applyNumberFormat="1" applyFont="1" applyFill="1" applyBorder="1"/>
    <xf numFmtId="0" fontId="4" fillId="2" borderId="1" xfId="88"/>
    <xf numFmtId="0" fontId="34" fillId="2" borderId="1" xfId="87" applyAlignment="1">
      <alignment horizontal="center" vertical="center"/>
    </xf>
    <xf numFmtId="0" fontId="4" fillId="2" borderId="1" xfId="88" applyAlignment="1">
      <alignment horizontal="center"/>
    </xf>
    <xf numFmtId="0" fontId="4" fillId="2" borderId="6" xfId="88" applyBorder="1"/>
    <xf numFmtId="0" fontId="34" fillId="2" borderId="1" xfId="87" applyAlignment="1">
      <alignment vertical="center"/>
    </xf>
    <xf numFmtId="0" fontId="4" fillId="2" borderId="1" xfId="88" applyAlignment="1">
      <alignment horizontal="center" vertical="center"/>
    </xf>
    <xf numFmtId="166" fontId="4" fillId="2" borderId="1" xfId="89" applyNumberFormat="1" applyFont="1" applyFill="1" applyBorder="1" applyAlignment="1">
      <alignment horizontal="center" vertical="center"/>
    </xf>
    <xf numFmtId="0" fontId="4" fillId="2" borderId="6" xfId="88" applyBorder="1" applyAlignment="1">
      <alignment vertical="center" wrapText="1"/>
    </xf>
    <xf numFmtId="166" fontId="4" fillId="2" borderId="1" xfId="89" applyNumberFormat="1" applyFont="1" applyFill="1" applyBorder="1" applyAlignment="1">
      <alignment horizontal="center" vertical="top"/>
    </xf>
    <xf numFmtId="0" fontId="4" fillId="2" borderId="6" xfId="88" applyBorder="1" applyAlignment="1">
      <alignment wrapText="1"/>
    </xf>
    <xf numFmtId="0" fontId="4" fillId="2" borderId="1" xfId="83" applyFont="1"/>
    <xf numFmtId="0" fontId="3" fillId="2" borderId="2" xfId="83" applyFont="1" applyBorder="1" applyAlignment="1">
      <alignment horizontal="right"/>
    </xf>
    <xf numFmtId="0" fontId="10" fillId="2" borderId="1" xfId="83" applyFont="1" applyAlignment="1">
      <alignment horizontal="right"/>
    </xf>
    <xf numFmtId="0" fontId="3" fillId="2" borderId="1" xfId="87" applyFont="1"/>
    <xf numFmtId="10" fontId="34" fillId="2" borderId="1" xfId="87" applyNumberFormat="1"/>
    <xf numFmtId="0" fontId="5" fillId="55" borderId="1" xfId="83" applyFont="1" applyFill="1"/>
    <xf numFmtId="167" fontId="3" fillId="2" borderId="1" xfId="90" applyNumberFormat="1" applyFont="1"/>
    <xf numFmtId="3" fontId="34" fillId="2" borderId="1" xfId="87" applyNumberFormat="1"/>
    <xf numFmtId="10" fontId="3" fillId="2" borderId="1" xfId="83" applyNumberFormat="1" applyFont="1"/>
    <xf numFmtId="0" fontId="3" fillId="2" borderId="1" xfId="83" applyFont="1"/>
    <xf numFmtId="3" fontId="3" fillId="2" borderId="2" xfId="83" applyNumberFormat="1" applyFont="1" applyBorder="1" applyAlignment="1">
      <alignment horizontal="right"/>
    </xf>
    <xf numFmtId="0" fontId="10" fillId="2" borderId="1" xfId="83" applyFont="1"/>
    <xf numFmtId="3" fontId="3" fillId="2" borderId="1" xfId="87" applyNumberFormat="1" applyFont="1"/>
    <xf numFmtId="10" fontId="3" fillId="2" borderId="1" xfId="90" applyNumberFormat="1" applyFont="1" applyFill="1" applyBorder="1"/>
    <xf numFmtId="0" fontId="34" fillId="2" borderId="1" xfId="87" applyAlignment="1">
      <alignment vertical="top"/>
    </xf>
    <xf numFmtId="10" fontId="4" fillId="2" borderId="1" xfId="90" applyNumberFormat="1" applyFont="1" applyFill="1" applyBorder="1"/>
    <xf numFmtId="3" fontId="4" fillId="2" borderId="1" xfId="83" applyNumberFormat="1" applyFont="1" applyAlignment="1">
      <alignment horizontal="right"/>
    </xf>
    <xf numFmtId="0" fontId="4" fillId="2" borderId="1" xfId="83" applyFont="1" applyAlignment="1">
      <alignment wrapText="1"/>
    </xf>
    <xf numFmtId="0" fontId="4" fillId="2" borderId="1" xfId="87" applyFont="1" applyAlignment="1">
      <alignment vertical="top"/>
    </xf>
    <xf numFmtId="3" fontId="34" fillId="2" borderId="1" xfId="87" applyNumberFormat="1" applyAlignment="1">
      <alignment vertical="top"/>
    </xf>
    <xf numFmtId="0" fontId="34" fillId="2" borderId="1" xfId="87" applyAlignment="1">
      <alignment vertical="top" wrapText="1"/>
    </xf>
    <xf numFmtId="0" fontId="4" fillId="2" borderId="1" xfId="83" applyFont="1" applyAlignment="1">
      <alignment vertical="top"/>
    </xf>
    <xf numFmtId="0" fontId="4" fillId="2" borderId="1" xfId="87" applyFont="1" applyAlignment="1">
      <alignment vertical="top" wrapText="1"/>
    </xf>
    <xf numFmtId="3" fontId="10" fillId="2" borderId="1" xfId="83" applyNumberFormat="1" applyFont="1"/>
    <xf numFmtId="9" fontId="0" fillId="2" borderId="1" xfId="90" applyFont="1"/>
    <xf numFmtId="0" fontId="3" fillId="2" borderId="1" xfId="87" applyFont="1" applyAlignment="1">
      <alignment horizontal="right"/>
    </xf>
    <xf numFmtId="3" fontId="32" fillId="2" borderId="1" xfId="83" applyNumberFormat="1" applyFont="1"/>
    <xf numFmtId="10" fontId="4" fillId="2" borderId="1" xfId="90" applyNumberFormat="1" applyFont="1" applyFill="1" applyBorder="1" applyAlignment="1">
      <alignment vertical="top"/>
    </xf>
    <xf numFmtId="3" fontId="10" fillId="2" borderId="1" xfId="83" applyNumberFormat="1" applyFont="1" applyAlignment="1">
      <alignment vertical="top"/>
    </xf>
    <xf numFmtId="9" fontId="3" fillId="2" borderId="1" xfId="90" applyFont="1"/>
    <xf numFmtId="3" fontId="10" fillId="2" borderId="1" xfId="87" applyNumberFormat="1" applyFont="1"/>
    <xf numFmtId="3" fontId="13" fillId="2" borderId="1" xfId="87" applyNumberFormat="1" applyFont="1"/>
    <xf numFmtId="0" fontId="29" fillId="2" borderId="1" xfId="83" applyFont="1"/>
    <xf numFmtId="3" fontId="0" fillId="2" borderId="1" xfId="87" applyNumberFormat="1" applyFont="1" applyAlignment="1">
      <alignment horizontal="center"/>
    </xf>
    <xf numFmtId="0" fontId="4" fillId="2" borderId="1" xfId="82" applyFont="1" applyAlignment="1">
      <alignment horizontal="left" vertical="top" wrapText="1"/>
    </xf>
    <xf numFmtId="3" fontId="34" fillId="2" borderId="1" xfId="82" applyNumberFormat="1" applyAlignment="1">
      <alignment horizontal="center" vertical="top"/>
    </xf>
    <xf numFmtId="3" fontId="4" fillId="2" borderId="1" xfId="86" applyNumberFormat="1" applyFont="1" applyAlignment="1">
      <alignment horizontal="center" vertical="top" wrapText="1"/>
    </xf>
    <xf numFmtId="3" fontId="4" fillId="0" borderId="22" xfId="0" applyNumberFormat="1" applyFont="1" applyBorder="1" applyAlignment="1">
      <alignment horizontal="center" vertical="top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horizontal="left"/>
    </xf>
    <xf numFmtId="0" fontId="4" fillId="4" borderId="16" xfId="0" applyFont="1" applyFill="1" applyBorder="1" applyAlignment="1">
      <alignment horizontal="left"/>
    </xf>
    <xf numFmtId="3" fontId="4" fillId="4" borderId="17" xfId="0" applyNumberFormat="1" applyFont="1" applyFill="1" applyBorder="1" applyAlignment="1">
      <alignment horizontal="left"/>
    </xf>
    <xf numFmtId="0" fontId="5" fillId="3" borderId="16" xfId="1" applyFont="1" applyFill="1" applyBorder="1"/>
    <xf numFmtId="0" fontId="8" fillId="3" borderId="17" xfId="1" applyFont="1" applyFill="1" applyBorder="1"/>
    <xf numFmtId="0" fontId="8" fillId="3" borderId="22" xfId="1" applyFont="1" applyFill="1" applyBorder="1"/>
    <xf numFmtId="0" fontId="4" fillId="0" borderId="17" xfId="0" applyFont="1" applyBorder="1" applyAlignment="1">
      <alignment horizontal="left"/>
    </xf>
    <xf numFmtId="43" fontId="3" fillId="5" borderId="4" xfId="81" applyFont="1" applyFill="1" applyBorder="1" applyAlignment="1">
      <alignment horizontal="right"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left" vertical="top"/>
    </xf>
    <xf numFmtId="0" fontId="3" fillId="0" borderId="17" xfId="0" applyFont="1" applyBorder="1" applyAlignment="1">
      <alignment horizontal="center" vertical="center"/>
    </xf>
    <xf numFmtId="0" fontId="4" fillId="4" borderId="16" xfId="0" applyFont="1" applyFill="1" applyBorder="1" applyAlignment="1">
      <alignment horizontal="left" vertical="top"/>
    </xf>
    <xf numFmtId="3" fontId="4" fillId="4" borderId="16" xfId="0" applyNumberFormat="1" applyFont="1" applyFill="1" applyBorder="1" applyAlignment="1">
      <alignment horizontal="center" vertical="center"/>
    </xf>
    <xf numFmtId="0" fontId="5" fillId="3" borderId="16" xfId="1" applyFont="1" applyFill="1" applyBorder="1" applyAlignment="1">
      <alignment horizontal="left" vertical="top"/>
    </xf>
    <xf numFmtId="0" fontId="4" fillId="2" borderId="1" xfId="3" applyFont="1" applyAlignment="1">
      <alignment horizontal="center" vertical="center"/>
    </xf>
    <xf numFmtId="168" fontId="0" fillId="0" borderId="18" xfId="0" applyNumberFormat="1" applyBorder="1" applyAlignment="1">
      <alignment horizontal="left" vertical="top"/>
    </xf>
    <xf numFmtId="0" fontId="4" fillId="2" borderId="18" xfId="82" applyFont="1" applyBorder="1" applyAlignment="1">
      <alignment horizontal="left" vertical="top"/>
    </xf>
    <xf numFmtId="0" fontId="4" fillId="2" borderId="18" xfId="86" applyFont="1" applyBorder="1" applyAlignment="1">
      <alignment horizontal="left" vertical="top" wrapText="1"/>
    </xf>
    <xf numFmtId="3" fontId="4" fillId="2" borderId="18" xfId="82" applyNumberFormat="1" applyFont="1" applyBorder="1" applyAlignment="1">
      <alignment horizontal="center" vertical="top"/>
    </xf>
    <xf numFmtId="3" fontId="34" fillId="2" borderId="18" xfId="82" applyNumberFormat="1" applyBorder="1" applyAlignment="1">
      <alignment horizontal="center" vertical="center"/>
    </xf>
    <xf numFmtId="3" fontId="34" fillId="2" borderId="18" xfId="82" applyNumberFormat="1" applyBorder="1" applyAlignment="1">
      <alignment horizontal="center" vertical="top"/>
    </xf>
    <xf numFmtId="0" fontId="3" fillId="2" borderId="18" xfId="86" applyFont="1" applyBorder="1" applyAlignment="1">
      <alignment horizontal="left" vertical="top" wrapText="1"/>
    </xf>
    <xf numFmtId="0" fontId="4" fillId="2" borderId="18" xfId="82" applyFont="1" applyBorder="1" applyAlignment="1">
      <alignment horizontal="left" vertical="top" wrapText="1"/>
    </xf>
    <xf numFmtId="3" fontId="3" fillId="2" borderId="18" xfId="82" applyNumberFormat="1" applyFont="1" applyBorder="1" applyAlignment="1">
      <alignment horizontal="center" vertical="top"/>
    </xf>
    <xf numFmtId="3" fontId="3" fillId="2" borderId="18" xfId="82" applyNumberFormat="1" applyFont="1" applyBorder="1" applyAlignment="1">
      <alignment horizontal="center" vertical="center"/>
    </xf>
    <xf numFmtId="3" fontId="34" fillId="2" borderId="18" xfId="82" applyNumberFormat="1" applyBorder="1" applyAlignment="1">
      <alignment horizontal="left" vertical="top"/>
    </xf>
    <xf numFmtId="3" fontId="4" fillId="2" borderId="18" xfId="86" applyNumberFormat="1" applyFont="1" applyBorder="1" applyAlignment="1">
      <alignment horizontal="center" vertical="top" wrapText="1"/>
    </xf>
    <xf numFmtId="3" fontId="34" fillId="2" borderId="18" xfId="86" applyNumberFormat="1" applyBorder="1" applyAlignment="1">
      <alignment horizontal="center" vertical="top"/>
    </xf>
    <xf numFmtId="3" fontId="3" fillId="2" borderId="18" xfId="86" applyNumberFormat="1" applyFont="1" applyBorder="1" applyAlignment="1">
      <alignment horizontal="center" vertical="top" wrapText="1"/>
    </xf>
    <xf numFmtId="3" fontId="34" fillId="2" borderId="18" xfId="86" applyNumberFormat="1" applyBorder="1" applyAlignment="1">
      <alignment horizontal="left" vertical="top"/>
    </xf>
    <xf numFmtId="3" fontId="34" fillId="2" borderId="18" xfId="86" applyNumberFormat="1" applyBorder="1" applyAlignment="1">
      <alignment horizontal="center" vertical="center"/>
    </xf>
    <xf numFmtId="3" fontId="4" fillId="0" borderId="18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left" vertical="top"/>
    </xf>
    <xf numFmtId="0" fontId="3" fillId="0" borderId="18" xfId="0" applyFont="1" applyBorder="1" applyAlignment="1">
      <alignment horizontal="left" vertical="top" wrapText="1"/>
    </xf>
    <xf numFmtId="3" fontId="3" fillId="0" borderId="18" xfId="0" applyNumberFormat="1" applyFont="1" applyBorder="1" applyAlignment="1">
      <alignment horizontal="center" vertical="top"/>
    </xf>
    <xf numFmtId="3" fontId="3" fillId="2" borderId="18" xfId="86" applyNumberFormat="1" applyFont="1" applyBorder="1" applyAlignment="1">
      <alignment horizontal="center" vertical="center"/>
    </xf>
    <xf numFmtId="3" fontId="4" fillId="2" borderId="23" xfId="82" applyNumberFormat="1" applyFont="1" applyBorder="1" applyAlignment="1">
      <alignment horizontal="center" vertical="top"/>
    </xf>
    <xf numFmtId="0" fontId="5" fillId="3" borderId="23" xfId="83" applyFont="1" applyFill="1" applyBorder="1" applyAlignment="1">
      <alignment wrapText="1"/>
    </xf>
    <xf numFmtId="3" fontId="34" fillId="2" borderId="23" xfId="82" applyNumberFormat="1" applyBorder="1" applyAlignment="1">
      <alignment horizontal="center" vertical="top"/>
    </xf>
    <xf numFmtId="0" fontId="5" fillId="3" borderId="23" xfId="1" applyFont="1" applyFill="1" applyBorder="1" applyAlignment="1">
      <alignment wrapText="1"/>
    </xf>
    <xf numFmtId="0" fontId="5" fillId="3" borderId="23" xfId="1" applyFont="1" applyFill="1" applyBorder="1"/>
    <xf numFmtId="3" fontId="4" fillId="2" borderId="23" xfId="0" applyNumberFormat="1" applyFont="1" applyFill="1" applyBorder="1" applyAlignment="1">
      <alignment horizontal="center" vertical="top" wrapText="1"/>
    </xf>
    <xf numFmtId="3" fontId="4" fillId="0" borderId="23" xfId="0" applyNumberFormat="1" applyFont="1" applyBorder="1" applyAlignment="1">
      <alignment horizontal="center" vertical="top"/>
    </xf>
    <xf numFmtId="3" fontId="0" fillId="0" borderId="23" xfId="0" applyNumberFormat="1" applyBorder="1" applyAlignment="1">
      <alignment horizontal="center" vertical="top"/>
    </xf>
    <xf numFmtId="0" fontId="35" fillId="0" borderId="0" xfId="0" applyFont="1"/>
    <xf numFmtId="3" fontId="4" fillId="2" borderId="23" xfId="86" applyNumberFormat="1" applyFont="1" applyBorder="1" applyAlignment="1">
      <alignment horizontal="center" vertical="center" wrapText="1"/>
    </xf>
    <xf numFmtId="168" fontId="4" fillId="2" borderId="23" xfId="86" applyNumberFormat="1" applyFont="1" applyBorder="1" applyAlignment="1">
      <alignment horizontal="center" vertical="center" wrapText="1"/>
    </xf>
    <xf numFmtId="0" fontId="5" fillId="3" borderId="23" xfId="83" applyFont="1" applyFill="1" applyBorder="1" applyAlignment="1">
      <alignment horizontal="center" vertical="top" wrapText="1"/>
    </xf>
    <xf numFmtId="3" fontId="4" fillId="2" borderId="1" xfId="82" applyNumberFormat="1" applyFont="1" applyAlignment="1">
      <alignment horizontal="left" vertical="top"/>
    </xf>
    <xf numFmtId="3" fontId="33" fillId="2" borderId="1" xfId="82" applyNumberFormat="1" applyFont="1"/>
    <xf numFmtId="3" fontId="3" fillId="2" borderId="5" xfId="87" applyNumberFormat="1" applyFont="1" applyBorder="1"/>
    <xf numFmtId="10" fontId="34" fillId="2" borderId="1" xfId="4" applyNumberFormat="1" applyFont="1" applyFill="1" applyBorder="1"/>
    <xf numFmtId="0" fontId="4" fillId="2" borderId="1" xfId="85" applyFont="1"/>
    <xf numFmtId="0" fontId="8" fillId="3" borderId="22" xfId="83" applyFont="1" applyFill="1" applyBorder="1" applyAlignment="1">
      <alignment horizontal="center" vertical="center"/>
    </xf>
    <xf numFmtId="0" fontId="5" fillId="3" borderId="18" xfId="83" applyFont="1" applyFill="1" applyBorder="1" applyAlignment="1">
      <alignment horizontal="center" vertical="top" wrapText="1"/>
    </xf>
    <xf numFmtId="3" fontId="4" fillId="2" borderId="18" xfId="86" applyNumberFormat="1" applyFont="1" applyBorder="1" applyAlignment="1">
      <alignment horizontal="center" vertical="center" wrapText="1"/>
    </xf>
    <xf numFmtId="0" fontId="5" fillId="3" borderId="23" xfId="83" applyFont="1" applyFill="1" applyBorder="1" applyAlignment="1">
      <alignment horizontal="center" vertical="center" wrapText="1"/>
    </xf>
    <xf numFmtId="0" fontId="5" fillId="3" borderId="23" xfId="83" applyFont="1" applyFill="1" applyBorder="1" applyAlignment="1">
      <alignment horizontal="left" vertical="center" wrapText="1"/>
    </xf>
    <xf numFmtId="0" fontId="8" fillId="3" borderId="22" xfId="83" applyFont="1" applyFill="1" applyBorder="1" applyAlignment="1">
      <alignment horizontal="center" vertical="top"/>
    </xf>
    <xf numFmtId="2" fontId="34" fillId="2" borderId="18" xfId="82" applyNumberFormat="1" applyBorder="1" applyAlignment="1">
      <alignment horizontal="center" vertical="top"/>
    </xf>
    <xf numFmtId="0" fontId="5" fillId="3" borderId="18" xfId="83" applyFont="1" applyFill="1" applyBorder="1" applyAlignment="1">
      <alignment horizontal="center" vertical="center" wrapText="1"/>
    </xf>
    <xf numFmtId="4" fontId="34" fillId="2" borderId="18" xfId="86" applyNumberFormat="1" applyBorder="1" applyAlignment="1">
      <alignment horizontal="center" vertical="center"/>
    </xf>
    <xf numFmtId="3" fontId="4" fillId="2" borderId="1" xfId="86" applyNumberFormat="1" applyFont="1"/>
    <xf numFmtId="0" fontId="4" fillId="2" borderId="18" xfId="0" applyFont="1" applyFill="1" applyBorder="1" applyAlignment="1">
      <alignment horizontal="center" vertical="top" wrapText="1"/>
    </xf>
    <xf numFmtId="1" fontId="4" fillId="2" borderId="18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2" fontId="34" fillId="2" borderId="18" xfId="86" applyNumberFormat="1" applyBorder="1" applyAlignment="1">
      <alignment horizontal="center"/>
    </xf>
    <xf numFmtId="0" fontId="34" fillId="2" borderId="18" xfId="86" applyBorder="1"/>
    <xf numFmtId="164" fontId="3" fillId="2" borderId="18" xfId="86" applyNumberFormat="1" applyFont="1" applyBorder="1" applyAlignment="1">
      <alignment horizontal="center"/>
    </xf>
    <xf numFmtId="164" fontId="3" fillId="2" borderId="18" xfId="86" applyNumberFormat="1" applyFont="1" applyBorder="1" applyAlignment="1">
      <alignment horizontal="center" vertical="center"/>
    </xf>
    <xf numFmtId="0" fontId="5" fillId="3" borderId="18" xfId="2" applyFont="1" applyFill="1" applyBorder="1" applyAlignment="1">
      <alignment vertical="center"/>
    </xf>
    <xf numFmtId="0" fontId="5" fillId="3" borderId="18" xfId="88" applyFont="1" applyFill="1" applyBorder="1" applyAlignment="1">
      <alignment horizontal="center" vertical="center"/>
    </xf>
    <xf numFmtId="0" fontId="5" fillId="3" borderId="18" xfId="2" applyFont="1" applyFill="1" applyBorder="1" applyAlignment="1">
      <alignment vertical="center" wrapText="1"/>
    </xf>
    <xf numFmtId="0" fontId="5" fillId="3" borderId="18" xfId="88" applyFont="1" applyFill="1" applyBorder="1" applyAlignment="1">
      <alignment horizontal="center" vertical="center" wrapText="1"/>
    </xf>
    <xf numFmtId="0" fontId="4" fillId="2" borderId="5" xfId="89" applyNumberFormat="1" applyFont="1" applyFill="1" applyBorder="1" applyAlignment="1">
      <alignment horizontal="center"/>
    </xf>
    <xf numFmtId="1" fontId="4" fillId="2" borderId="1" xfId="89" applyNumberFormat="1" applyFont="1" applyFill="1" applyBorder="1" applyAlignment="1">
      <alignment horizontal="center" vertical="center"/>
    </xf>
    <xf numFmtId="165" fontId="4" fillId="2" borderId="1" xfId="89" applyNumberFormat="1" applyFont="1" applyFill="1" applyBorder="1" applyAlignment="1">
      <alignment horizontal="center"/>
    </xf>
    <xf numFmtId="0" fontId="3" fillId="4" borderId="18" xfId="87" applyFont="1" applyFill="1" applyBorder="1" applyAlignment="1">
      <alignment horizontal="left" vertical="center" wrapText="1"/>
    </xf>
    <xf numFmtId="3" fontId="3" fillId="4" borderId="18" xfId="87" applyNumberFormat="1" applyFont="1" applyFill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4" fillId="2" borderId="1" xfId="87" applyFont="1" applyAlignment="1">
      <alignment horizontal="center"/>
    </xf>
    <xf numFmtId="0" fontId="4" fillId="2" borderId="1" xfId="87" applyFont="1" applyAlignment="1">
      <alignment horizontal="center" vertical="center"/>
    </xf>
    <xf numFmtId="0" fontId="4" fillId="2" borderId="18" xfId="87" applyFont="1" applyBorder="1" applyAlignment="1">
      <alignment horizontal="center" vertical="center"/>
    </xf>
    <xf numFmtId="0" fontId="4" fillId="2" borderId="7" xfId="87" applyFont="1" applyBorder="1" applyAlignment="1">
      <alignment horizontal="center"/>
    </xf>
    <xf numFmtId="164" fontId="34" fillId="2" borderId="7" xfId="87" applyNumberFormat="1" applyBorder="1" applyAlignment="1">
      <alignment horizontal="center" vertical="center"/>
    </xf>
    <xf numFmtId="0" fontId="4" fillId="2" borderId="7" xfId="87" applyFont="1" applyBorder="1" applyAlignment="1">
      <alignment horizontal="center" vertical="center"/>
    </xf>
    <xf numFmtId="0" fontId="34" fillId="2" borderId="7" xfId="87" applyBorder="1"/>
    <xf numFmtId="164" fontId="0" fillId="0" borderId="18" xfId="0" applyNumberFormat="1" applyBorder="1" applyAlignment="1">
      <alignment horizontal="left" vertical="top"/>
    </xf>
    <xf numFmtId="168" fontId="3" fillId="2" borderId="18" xfId="82" applyNumberFormat="1" applyFont="1" applyBorder="1" applyAlignment="1">
      <alignment horizontal="center" vertical="center"/>
    </xf>
    <xf numFmtId="2" fontId="34" fillId="2" borderId="1" xfId="87" applyNumberFormat="1"/>
    <xf numFmtId="4" fontId="0" fillId="0" borderId="0" xfId="0" applyNumberFormat="1" applyAlignment="1">
      <alignment horizontal="center" vertical="center"/>
    </xf>
    <xf numFmtId="4" fontId="4" fillId="2" borderId="1" xfId="87" applyNumberFormat="1" applyFont="1" applyAlignment="1">
      <alignment horizontal="center" vertical="center"/>
    </xf>
    <xf numFmtId="3" fontId="4" fillId="2" borderId="1" xfId="87" applyNumberFormat="1" applyFont="1"/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0" fillId="0" borderId="0" xfId="0" applyFont="1" applyAlignment="1"/>
    <xf numFmtId="0" fontId="0" fillId="0" borderId="0" xfId="0" applyAlignment="1"/>
    <xf numFmtId="0" fontId="31" fillId="0" borderId="0" xfId="0" applyFont="1" applyAlignment="1">
      <alignment horizontal="center" vertical="top" wrapText="1"/>
    </xf>
    <xf numFmtId="0" fontId="4" fillId="56" borderId="0" xfId="0" applyFont="1" applyFill="1" applyAlignment="1">
      <alignment horizontal="center" vertical="top" wrapText="1"/>
    </xf>
    <xf numFmtId="0" fontId="0" fillId="56" borderId="0" xfId="0" applyFill="1" applyAlignment="1">
      <alignment horizontal="center" vertical="top" wrapText="1"/>
    </xf>
    <xf numFmtId="0" fontId="3" fillId="2" borderId="1" xfId="1" applyFont="1" applyAlignment="1">
      <alignment horizontal="right"/>
    </xf>
    <xf numFmtId="0" fontId="28" fillId="2" borderId="1" xfId="1" applyFont="1" applyAlignment="1">
      <alignment horizontal="center" vertical="center"/>
    </xf>
    <xf numFmtId="0" fontId="10" fillId="2" borderId="1" xfId="1" applyFont="1" applyAlignment="1"/>
    <xf numFmtId="0" fontId="28" fillId="2" borderId="1" xfId="83" applyFont="1" applyAlignment="1">
      <alignment horizontal="center" vertical="center"/>
    </xf>
    <xf numFmtId="0" fontId="5" fillId="55" borderId="1" xfId="83" applyFont="1" applyFill="1" applyAlignment="1"/>
    <xf numFmtId="0" fontId="34" fillId="2" borderId="1" xfId="87" applyAlignment="1"/>
    <xf numFmtId="0" fontId="3" fillId="2" borderId="1" xfId="83" applyFont="1" applyAlignment="1">
      <alignment horizontal="right"/>
    </xf>
    <xf numFmtId="0" fontId="10" fillId="2" borderId="1" xfId="83" applyFont="1" applyAlignment="1"/>
  </cellXfs>
  <cellStyles count="91">
    <cellStyle name="Accent1 - 20%" xfId="13"/>
    <cellStyle name="Accent1 - 40%" xfId="14"/>
    <cellStyle name="Accent1 - 60%" xfId="15"/>
    <cellStyle name="Accent1 2" xfId="12"/>
    <cellStyle name="Accent2 - 20%" xfId="17"/>
    <cellStyle name="Accent2 - 40%" xfId="18"/>
    <cellStyle name="Accent2 - 60%" xfId="19"/>
    <cellStyle name="Accent2 2" xfId="16"/>
    <cellStyle name="Accent3 - 20%" xfId="21"/>
    <cellStyle name="Accent3 - 40%" xfId="22"/>
    <cellStyle name="Accent3 - 60%" xfId="23"/>
    <cellStyle name="Accent3 2" xfId="20"/>
    <cellStyle name="Accent4 - 20%" xfId="25"/>
    <cellStyle name="Accent4 - 40%" xfId="26"/>
    <cellStyle name="Accent4 - 60%" xfId="27"/>
    <cellStyle name="Accent4 2" xfId="24"/>
    <cellStyle name="Accent5 - 20%" xfId="29"/>
    <cellStyle name="Accent5 - 40%" xfId="30"/>
    <cellStyle name="Accent5 - 60%" xfId="31"/>
    <cellStyle name="Accent5 2" xfId="28"/>
    <cellStyle name="Accent6 - 20%" xfId="33"/>
    <cellStyle name="Accent6 - 40%" xfId="34"/>
    <cellStyle name="Accent6 - 60%" xfId="35"/>
    <cellStyle name="Accent6 2" xfId="32"/>
    <cellStyle name="Emphasis 1" xfId="36"/>
    <cellStyle name="Emphasis 2" xfId="37"/>
    <cellStyle name="Emphasis 3" xfId="38"/>
    <cellStyle name="Gevolgde hyperlink" xfId="6" builtinId="9" hidden="1"/>
    <cellStyle name="Gevolgde hyperlink" xfId="8" builtinId="9" hidden="1"/>
    <cellStyle name="Hyperlink" xfId="5" builtinId="8" hidden="1"/>
    <cellStyle name="Hyperlink" xfId="7" builtinId="8" hidden="1"/>
    <cellStyle name="Komma" xfId="81" builtinId="3"/>
    <cellStyle name="Komma 2" xfId="10"/>
    <cellStyle name="Komma 3" xfId="89"/>
    <cellStyle name="Procent" xfId="4" builtinId="5"/>
    <cellStyle name="Procent 2" xfId="90"/>
    <cellStyle name="SAPBEXaggData" xfId="39"/>
    <cellStyle name="SAPBEXaggDataEmph" xfId="40"/>
    <cellStyle name="SAPBEXaggItem" xfId="41"/>
    <cellStyle name="SAPBEXaggItemX" xfId="42"/>
    <cellStyle name="SAPBEXchaText" xfId="43"/>
    <cellStyle name="SAPBEXexcBad7" xfId="44"/>
    <cellStyle name="SAPBEXexcBad8" xfId="45"/>
    <cellStyle name="SAPBEXexcBad9" xfId="46"/>
    <cellStyle name="SAPBEXexcCritical4" xfId="47"/>
    <cellStyle name="SAPBEXexcCritical5" xfId="48"/>
    <cellStyle name="SAPBEXexcCritical6" xfId="49"/>
    <cellStyle name="SAPBEXexcGood1" xfId="50"/>
    <cellStyle name="SAPBEXexcGood2" xfId="51"/>
    <cellStyle name="SAPBEXexcGood3" xfId="52"/>
    <cellStyle name="SAPBEXfilterDrill" xfId="53"/>
    <cellStyle name="SAPBEXfilterItem" xfId="54"/>
    <cellStyle name="SAPBEXfilterText" xfId="55"/>
    <cellStyle name="SAPBEXformats" xfId="56"/>
    <cellStyle name="SAPBEXheaderItem" xfId="57"/>
    <cellStyle name="SAPBEXheaderText" xfId="58"/>
    <cellStyle name="SAPBEXHLevel0" xfId="59"/>
    <cellStyle name="SAPBEXHLevel0X" xfId="60"/>
    <cellStyle name="SAPBEXHLevel1" xfId="61"/>
    <cellStyle name="SAPBEXHLevel1X" xfId="62"/>
    <cellStyle name="SAPBEXHLevel2" xfId="63"/>
    <cellStyle name="SAPBEXHLevel2X" xfId="64"/>
    <cellStyle name="SAPBEXHLevel3" xfId="65"/>
    <cellStyle name="SAPBEXHLevel3X" xfId="66"/>
    <cellStyle name="SAPBEXinputData" xfId="67"/>
    <cellStyle name="SAPBEXItemHeader" xfId="68"/>
    <cellStyle name="SAPBEXresData" xfId="69"/>
    <cellStyle name="SAPBEXresDataEmph" xfId="70"/>
    <cellStyle name="SAPBEXresItem" xfId="71"/>
    <cellStyle name="SAPBEXresItemX" xfId="72"/>
    <cellStyle name="SAPBEXstdData" xfId="73"/>
    <cellStyle name="SAPBEXstdDataEmph" xfId="74"/>
    <cellStyle name="SAPBEXstdItem" xfId="75"/>
    <cellStyle name="SAPBEXstdItemX" xfId="76"/>
    <cellStyle name="SAPBEXtitle" xfId="77"/>
    <cellStyle name="SAPBEXunassignedItem" xfId="78"/>
    <cellStyle name="SAPBEXundefined" xfId="79"/>
    <cellStyle name="Sheet Title" xfId="80"/>
    <cellStyle name="Standaard" xfId="0" builtinId="0"/>
    <cellStyle name="Standaard 10" xfId="87"/>
    <cellStyle name="Standaard 2" xfId="1"/>
    <cellStyle name="Standaard 2 2" xfId="83"/>
    <cellStyle name="Standaard 3" xfId="2"/>
    <cellStyle name="Standaard 4" xfId="3"/>
    <cellStyle name="Standaard 4 2" xfId="88"/>
    <cellStyle name="Standaard 5" xfId="9"/>
    <cellStyle name="Standaard 5 2" xfId="84"/>
    <cellStyle name="Standaard 6" xfId="11"/>
    <cellStyle name="Standaard 7" xfId="82"/>
    <cellStyle name="Standaard 8" xfId="85"/>
    <cellStyle name="Standaard 9" xfId="86"/>
  </cellStyles>
  <dxfs count="0"/>
  <tableStyles count="0" defaultTableStyle="TableStyleMedium9" defaultPivotStyle="PivotStyleLight16"/>
  <colors>
    <mruColors>
      <color rgb="FFB49B82"/>
      <color rgb="FF3C4150"/>
      <color rgb="FFFF5032"/>
      <color rgb="FF326E73"/>
      <color rgb="FF00543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38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37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1.xml"/><Relationship Id="rId35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11</xdr:row>
      <xdr:rowOff>66675</xdr:rowOff>
    </xdr:from>
    <xdr:to>
      <xdr:col>11</xdr:col>
      <xdr:colOff>1</xdr:colOff>
      <xdr:row>33</xdr:row>
      <xdr:rowOff>76201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21409" t="25281" r="35721" b="39993"/>
        <a:stretch/>
      </xdr:blipFill>
      <xdr:spPr>
        <a:xfrm>
          <a:off x="47625" y="714375"/>
          <a:ext cx="7839076" cy="357187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vanhouten2.sharepoint.com/VCA%20en%20ISO/4.%20Bijlage%20en%20ingevulde%20formulieren/CO2%20footprint/2020/fuelvolume%20BP%20met%20CO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bos\AppData\Local\Microsoft\Windows\Temporary%20Internet%20Files\Content.Outlook\3YA9YIB7\2022%2002%2001%20Emissie%20inventaris%202017-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elvolume"/>
    </sheetNames>
    <sheetDataSet>
      <sheetData sheetId="0">
        <row r="3">
          <cell r="C3">
            <v>73.78</v>
          </cell>
        </row>
        <row r="291">
          <cell r="C291">
            <v>34.130000000000003</v>
          </cell>
        </row>
        <row r="292">
          <cell r="C292">
            <v>30.31</v>
          </cell>
        </row>
        <row r="293">
          <cell r="C293">
            <v>29.6</v>
          </cell>
        </row>
        <row r="294">
          <cell r="C294">
            <v>34.19</v>
          </cell>
        </row>
        <row r="295">
          <cell r="C295">
            <v>33.99</v>
          </cell>
        </row>
        <row r="296">
          <cell r="C296">
            <v>32.4</v>
          </cell>
        </row>
        <row r="297">
          <cell r="C297">
            <v>31.14</v>
          </cell>
        </row>
        <row r="298">
          <cell r="C298">
            <v>33.979999999999997</v>
          </cell>
        </row>
        <row r="299">
          <cell r="C299">
            <v>35.53</v>
          </cell>
        </row>
        <row r="300">
          <cell r="C300">
            <v>33.97</v>
          </cell>
        </row>
        <row r="301">
          <cell r="C301">
            <v>34.69</v>
          </cell>
        </row>
        <row r="302">
          <cell r="C302">
            <v>30.15</v>
          </cell>
        </row>
        <row r="303">
          <cell r="C303">
            <v>33.979999999999997</v>
          </cell>
        </row>
        <row r="304">
          <cell r="C304">
            <v>28.22</v>
          </cell>
        </row>
        <row r="305">
          <cell r="C305">
            <v>28.22</v>
          </cell>
        </row>
        <row r="306">
          <cell r="C306">
            <v>32.39</v>
          </cell>
        </row>
        <row r="307">
          <cell r="C307">
            <v>33.799999999999997</v>
          </cell>
        </row>
        <row r="308">
          <cell r="C308">
            <v>33.93</v>
          </cell>
        </row>
        <row r="309">
          <cell r="C309">
            <v>30.83</v>
          </cell>
        </row>
        <row r="310">
          <cell r="C310">
            <v>30.46</v>
          </cell>
        </row>
        <row r="311">
          <cell r="C311">
            <v>29.9</v>
          </cell>
        </row>
        <row r="312">
          <cell r="C312">
            <v>5.84</v>
          </cell>
        </row>
        <row r="313">
          <cell r="C313">
            <v>26.57</v>
          </cell>
        </row>
        <row r="314">
          <cell r="C314">
            <v>30.68</v>
          </cell>
        </row>
        <row r="315">
          <cell r="C315">
            <v>30.89</v>
          </cell>
        </row>
        <row r="316">
          <cell r="C316">
            <v>30.93</v>
          </cell>
        </row>
        <row r="317">
          <cell r="C317">
            <v>29.64</v>
          </cell>
        </row>
        <row r="318">
          <cell r="C318">
            <v>33.049999999999997</v>
          </cell>
        </row>
        <row r="319">
          <cell r="C319">
            <v>32.06</v>
          </cell>
        </row>
        <row r="320">
          <cell r="C320">
            <v>32.020000000000003</v>
          </cell>
        </row>
        <row r="321">
          <cell r="C321">
            <v>32.590000000000003</v>
          </cell>
        </row>
        <row r="322">
          <cell r="C322">
            <v>34.380000000000003</v>
          </cell>
        </row>
        <row r="323">
          <cell r="C323">
            <v>37.020000000000003</v>
          </cell>
        </row>
        <row r="324">
          <cell r="C324">
            <v>25.89</v>
          </cell>
        </row>
        <row r="325">
          <cell r="C325">
            <v>34.08</v>
          </cell>
        </row>
        <row r="326">
          <cell r="C326">
            <v>33.69</v>
          </cell>
        </row>
        <row r="327">
          <cell r="C327">
            <v>29.53</v>
          </cell>
        </row>
        <row r="328">
          <cell r="C328">
            <v>33.83</v>
          </cell>
        </row>
        <row r="329">
          <cell r="C329">
            <v>36.6</v>
          </cell>
        </row>
        <row r="330">
          <cell r="C330">
            <v>32.119999999999997</v>
          </cell>
        </row>
        <row r="331">
          <cell r="C331">
            <v>29.02</v>
          </cell>
        </row>
        <row r="332">
          <cell r="C332">
            <v>32.729999999999997</v>
          </cell>
        </row>
        <row r="333">
          <cell r="C333">
            <v>41.64</v>
          </cell>
        </row>
        <row r="334">
          <cell r="C334">
            <v>31.59</v>
          </cell>
        </row>
        <row r="335">
          <cell r="C335">
            <v>36.53</v>
          </cell>
        </row>
        <row r="336">
          <cell r="C336">
            <v>37.1</v>
          </cell>
        </row>
        <row r="337">
          <cell r="C337">
            <v>38.520000000000003</v>
          </cell>
        </row>
        <row r="338">
          <cell r="C338">
            <v>43.81</v>
          </cell>
        </row>
        <row r="339">
          <cell r="C339">
            <v>39.89</v>
          </cell>
        </row>
        <row r="340">
          <cell r="C340">
            <v>34.49</v>
          </cell>
        </row>
        <row r="341">
          <cell r="C341">
            <v>35.03</v>
          </cell>
        </row>
        <row r="342">
          <cell r="C342">
            <v>31.97</v>
          </cell>
        </row>
        <row r="343">
          <cell r="C343">
            <v>30.26</v>
          </cell>
        </row>
        <row r="344">
          <cell r="C344">
            <v>43.2</v>
          </cell>
        </row>
        <row r="345">
          <cell r="C345">
            <v>33.36</v>
          </cell>
        </row>
        <row r="346">
          <cell r="C346">
            <v>33.36</v>
          </cell>
        </row>
        <row r="347">
          <cell r="C347">
            <v>35.14</v>
          </cell>
        </row>
        <row r="348">
          <cell r="C348">
            <v>35.14</v>
          </cell>
        </row>
        <row r="349">
          <cell r="C349">
            <v>31.23</v>
          </cell>
        </row>
        <row r="350">
          <cell r="C350">
            <v>31.23</v>
          </cell>
        </row>
        <row r="351">
          <cell r="C351">
            <v>34.49</v>
          </cell>
        </row>
        <row r="352">
          <cell r="C352">
            <v>32.700000000000003</v>
          </cell>
        </row>
        <row r="353">
          <cell r="C353">
            <v>35.07</v>
          </cell>
        </row>
        <row r="354">
          <cell r="C354">
            <v>31.88</v>
          </cell>
        </row>
        <row r="355">
          <cell r="C355">
            <v>42.53</v>
          </cell>
        </row>
        <row r="356">
          <cell r="C356">
            <v>42.53</v>
          </cell>
        </row>
        <row r="357">
          <cell r="C357">
            <v>44.16</v>
          </cell>
        </row>
        <row r="358">
          <cell r="C358">
            <v>40.28</v>
          </cell>
        </row>
        <row r="359">
          <cell r="C359">
            <v>43.78</v>
          </cell>
        </row>
        <row r="360">
          <cell r="C360">
            <v>43.29</v>
          </cell>
        </row>
        <row r="361">
          <cell r="C361">
            <v>40.06</v>
          </cell>
        </row>
        <row r="362">
          <cell r="C362">
            <v>36.520000000000003</v>
          </cell>
        </row>
        <row r="363">
          <cell r="C363">
            <v>35.33</v>
          </cell>
        </row>
        <row r="364">
          <cell r="C364">
            <v>35.47</v>
          </cell>
        </row>
        <row r="365">
          <cell r="C365">
            <v>43.01</v>
          </cell>
        </row>
        <row r="366">
          <cell r="C366">
            <v>37.68</v>
          </cell>
        </row>
        <row r="367">
          <cell r="C367">
            <v>36.08</v>
          </cell>
        </row>
        <row r="368">
          <cell r="C368">
            <v>30.47</v>
          </cell>
        </row>
        <row r="369">
          <cell r="C369">
            <v>37.03</v>
          </cell>
        </row>
        <row r="370">
          <cell r="C370">
            <v>29.07</v>
          </cell>
        </row>
        <row r="371">
          <cell r="C371">
            <v>29.82</v>
          </cell>
        </row>
        <row r="372">
          <cell r="C372">
            <v>26.58</v>
          </cell>
        </row>
        <row r="373">
          <cell r="C373">
            <v>34.32</v>
          </cell>
        </row>
        <row r="374">
          <cell r="C374">
            <v>31.57</v>
          </cell>
        </row>
        <row r="375">
          <cell r="C375">
            <v>40.03</v>
          </cell>
        </row>
        <row r="376">
          <cell r="C376">
            <v>29.55</v>
          </cell>
        </row>
        <row r="377">
          <cell r="C377">
            <v>30.48</v>
          </cell>
        </row>
        <row r="378">
          <cell r="C378">
            <v>27.8</v>
          </cell>
        </row>
        <row r="379">
          <cell r="C379">
            <v>32.880000000000003</v>
          </cell>
        </row>
        <row r="380">
          <cell r="C380">
            <v>40.159999999999997</v>
          </cell>
        </row>
        <row r="381">
          <cell r="C381">
            <v>42.29</v>
          </cell>
        </row>
        <row r="382">
          <cell r="C382">
            <v>35.43</v>
          </cell>
        </row>
        <row r="383">
          <cell r="C383">
            <v>41.97</v>
          </cell>
        </row>
        <row r="384">
          <cell r="C384">
            <v>47.33</v>
          </cell>
        </row>
        <row r="385">
          <cell r="C385">
            <v>41.42</v>
          </cell>
        </row>
        <row r="386">
          <cell r="C386">
            <v>39.86</v>
          </cell>
        </row>
        <row r="387">
          <cell r="C387">
            <v>47.69</v>
          </cell>
        </row>
        <row r="388">
          <cell r="C388">
            <v>41.22</v>
          </cell>
        </row>
        <row r="389">
          <cell r="C389">
            <v>34.04</v>
          </cell>
        </row>
        <row r="390">
          <cell r="C390">
            <v>29.59</v>
          </cell>
        </row>
        <row r="391">
          <cell r="C391">
            <v>16.8</v>
          </cell>
        </row>
        <row r="392">
          <cell r="C392">
            <v>27.87</v>
          </cell>
        </row>
        <row r="393">
          <cell r="C393">
            <v>32.07</v>
          </cell>
        </row>
        <row r="394">
          <cell r="C394">
            <v>34.770000000000003</v>
          </cell>
        </row>
        <row r="395">
          <cell r="C395">
            <v>34.92</v>
          </cell>
        </row>
        <row r="396">
          <cell r="C396">
            <v>29.41</v>
          </cell>
        </row>
        <row r="397">
          <cell r="C397">
            <v>31.51</v>
          </cell>
        </row>
        <row r="398">
          <cell r="C398">
            <v>26.28</v>
          </cell>
        </row>
        <row r="399">
          <cell r="C399">
            <v>35.049999999999997</v>
          </cell>
        </row>
        <row r="400">
          <cell r="C400">
            <v>32.549999999999997</v>
          </cell>
        </row>
        <row r="401">
          <cell r="C401">
            <v>32.9</v>
          </cell>
        </row>
        <row r="402">
          <cell r="C402">
            <v>32.68</v>
          </cell>
        </row>
        <row r="403">
          <cell r="C403">
            <v>28.4</v>
          </cell>
        </row>
        <row r="404">
          <cell r="C404">
            <v>26.67</v>
          </cell>
        </row>
        <row r="405">
          <cell r="C405">
            <v>26.59</v>
          </cell>
        </row>
        <row r="406">
          <cell r="C406">
            <v>32.31</v>
          </cell>
        </row>
        <row r="407">
          <cell r="C407">
            <v>32.35</v>
          </cell>
        </row>
        <row r="408">
          <cell r="C408">
            <v>27.59</v>
          </cell>
        </row>
        <row r="409">
          <cell r="C409">
            <v>29.47</v>
          </cell>
        </row>
        <row r="410">
          <cell r="C410">
            <v>28.35</v>
          </cell>
        </row>
        <row r="411">
          <cell r="C411">
            <v>36.090000000000003</v>
          </cell>
        </row>
        <row r="412">
          <cell r="C412">
            <v>30.56</v>
          </cell>
        </row>
        <row r="413">
          <cell r="C413">
            <v>19.75</v>
          </cell>
        </row>
        <row r="414">
          <cell r="C414">
            <v>31.36</v>
          </cell>
        </row>
        <row r="415">
          <cell r="C415">
            <v>27.72</v>
          </cell>
        </row>
        <row r="416">
          <cell r="C416">
            <v>29.88</v>
          </cell>
        </row>
        <row r="417">
          <cell r="C417">
            <v>29.88</v>
          </cell>
        </row>
        <row r="418">
          <cell r="C418">
            <v>16.82</v>
          </cell>
        </row>
        <row r="419">
          <cell r="C419">
            <v>16.82</v>
          </cell>
        </row>
        <row r="420">
          <cell r="C420">
            <v>27.59</v>
          </cell>
        </row>
        <row r="421">
          <cell r="C421">
            <v>27.59</v>
          </cell>
        </row>
        <row r="422">
          <cell r="C422">
            <v>28.19</v>
          </cell>
        </row>
        <row r="423">
          <cell r="C423">
            <v>24.95</v>
          </cell>
        </row>
        <row r="424">
          <cell r="C424">
            <v>17.37</v>
          </cell>
        </row>
        <row r="425">
          <cell r="C425">
            <v>32.97</v>
          </cell>
        </row>
        <row r="426">
          <cell r="C426">
            <v>29</v>
          </cell>
        </row>
        <row r="427">
          <cell r="C427">
            <v>26.43</v>
          </cell>
        </row>
        <row r="428">
          <cell r="C428">
            <v>26.83</v>
          </cell>
        </row>
        <row r="429">
          <cell r="C429">
            <v>26.83</v>
          </cell>
        </row>
        <row r="430">
          <cell r="C430">
            <v>31.31</v>
          </cell>
        </row>
        <row r="431">
          <cell r="C431">
            <v>25.59</v>
          </cell>
        </row>
        <row r="432">
          <cell r="C432">
            <v>24.85</v>
          </cell>
        </row>
        <row r="433">
          <cell r="C433">
            <v>26.59</v>
          </cell>
        </row>
        <row r="434">
          <cell r="C434">
            <v>28.97</v>
          </cell>
        </row>
        <row r="435">
          <cell r="C435">
            <v>31.11</v>
          </cell>
        </row>
        <row r="436">
          <cell r="C436">
            <v>21.63</v>
          </cell>
        </row>
        <row r="437">
          <cell r="C437">
            <v>32.909999999999997</v>
          </cell>
        </row>
        <row r="438">
          <cell r="C438">
            <v>20.96</v>
          </cell>
        </row>
        <row r="439">
          <cell r="C439">
            <v>28.4</v>
          </cell>
        </row>
        <row r="440">
          <cell r="C440">
            <v>26.18</v>
          </cell>
        </row>
        <row r="441">
          <cell r="C441">
            <v>26.78</v>
          </cell>
        </row>
        <row r="442">
          <cell r="C442">
            <v>28.73</v>
          </cell>
        </row>
        <row r="443">
          <cell r="C443">
            <v>32.68</v>
          </cell>
        </row>
        <row r="444">
          <cell r="C444">
            <v>28.94</v>
          </cell>
        </row>
        <row r="445">
          <cell r="C445">
            <v>34.07</v>
          </cell>
        </row>
        <row r="446">
          <cell r="C446">
            <v>27.43</v>
          </cell>
        </row>
        <row r="447">
          <cell r="C447">
            <v>34.380000000000003</v>
          </cell>
        </row>
        <row r="448">
          <cell r="C448">
            <v>37.4</v>
          </cell>
        </row>
        <row r="449">
          <cell r="C449">
            <v>33.58</v>
          </cell>
        </row>
        <row r="450">
          <cell r="C450">
            <v>39.380000000000003</v>
          </cell>
        </row>
        <row r="451">
          <cell r="C451">
            <v>22.18</v>
          </cell>
        </row>
        <row r="452">
          <cell r="C452">
            <v>27.86</v>
          </cell>
        </row>
        <row r="453">
          <cell r="C453">
            <v>31.73</v>
          </cell>
        </row>
        <row r="454">
          <cell r="C454">
            <v>27.26</v>
          </cell>
        </row>
        <row r="455">
          <cell r="C455">
            <v>28.35</v>
          </cell>
        </row>
        <row r="456">
          <cell r="C456">
            <v>61.73</v>
          </cell>
        </row>
        <row r="457">
          <cell r="C457">
            <v>49.26</v>
          </cell>
        </row>
        <row r="458">
          <cell r="C458">
            <v>42.42</v>
          </cell>
        </row>
        <row r="459">
          <cell r="C459">
            <v>49.32</v>
          </cell>
        </row>
        <row r="460">
          <cell r="C460">
            <v>41.14</v>
          </cell>
        </row>
        <row r="461">
          <cell r="C461">
            <v>33</v>
          </cell>
        </row>
        <row r="462">
          <cell r="C462">
            <v>41.04</v>
          </cell>
        </row>
        <row r="463">
          <cell r="C463">
            <v>33.9</v>
          </cell>
        </row>
        <row r="464">
          <cell r="C464">
            <v>33.700000000000003</v>
          </cell>
        </row>
        <row r="465">
          <cell r="C465">
            <v>41.85</v>
          </cell>
        </row>
        <row r="466">
          <cell r="C466">
            <v>50.49</v>
          </cell>
        </row>
        <row r="467">
          <cell r="C467">
            <v>56.78</v>
          </cell>
        </row>
        <row r="468">
          <cell r="C468">
            <v>37.04</v>
          </cell>
        </row>
        <row r="469">
          <cell r="C469">
            <v>44.69</v>
          </cell>
        </row>
        <row r="470">
          <cell r="C470">
            <v>49.18</v>
          </cell>
        </row>
        <row r="471">
          <cell r="C471">
            <v>57.86</v>
          </cell>
        </row>
        <row r="472">
          <cell r="C472">
            <v>48.68</v>
          </cell>
        </row>
        <row r="473">
          <cell r="C473">
            <v>48.37</v>
          </cell>
        </row>
        <row r="474">
          <cell r="C474">
            <v>53</v>
          </cell>
        </row>
        <row r="475">
          <cell r="C475">
            <v>60.4</v>
          </cell>
        </row>
        <row r="476">
          <cell r="C476">
            <v>54.11</v>
          </cell>
        </row>
        <row r="477">
          <cell r="C477">
            <v>35.97</v>
          </cell>
        </row>
        <row r="478">
          <cell r="C478">
            <v>42.79</v>
          </cell>
        </row>
        <row r="479">
          <cell r="C479">
            <v>42.83</v>
          </cell>
        </row>
        <row r="480">
          <cell r="C480">
            <v>53.39</v>
          </cell>
        </row>
        <row r="481">
          <cell r="C481">
            <v>54.84</v>
          </cell>
        </row>
        <row r="482">
          <cell r="C482">
            <v>45.46</v>
          </cell>
        </row>
        <row r="483">
          <cell r="C483">
            <v>39.549999999999997</v>
          </cell>
        </row>
        <row r="484">
          <cell r="C484">
            <v>41.29</v>
          </cell>
        </row>
        <row r="485">
          <cell r="C485">
            <v>50.8</v>
          </cell>
        </row>
        <row r="486">
          <cell r="C486">
            <v>50.05</v>
          </cell>
        </row>
        <row r="487">
          <cell r="C487">
            <v>61.63</v>
          </cell>
        </row>
        <row r="488">
          <cell r="C488">
            <v>62.25</v>
          </cell>
        </row>
        <row r="489">
          <cell r="C489">
            <v>62.25</v>
          </cell>
        </row>
        <row r="490">
          <cell r="C490">
            <v>67.39</v>
          </cell>
        </row>
        <row r="491">
          <cell r="C491">
            <v>67.39</v>
          </cell>
        </row>
        <row r="492">
          <cell r="C492">
            <v>60.5</v>
          </cell>
        </row>
        <row r="493">
          <cell r="C493">
            <v>60.5</v>
          </cell>
        </row>
        <row r="494">
          <cell r="C494">
            <v>47.49</v>
          </cell>
        </row>
        <row r="495">
          <cell r="C495">
            <v>47.49</v>
          </cell>
        </row>
        <row r="496">
          <cell r="C496">
            <v>52.65</v>
          </cell>
        </row>
        <row r="497">
          <cell r="C497">
            <v>50.58</v>
          </cell>
        </row>
        <row r="498">
          <cell r="C498">
            <v>45.54</v>
          </cell>
        </row>
        <row r="499">
          <cell r="C499">
            <v>49.3</v>
          </cell>
        </row>
        <row r="500">
          <cell r="C500">
            <v>30.04</v>
          </cell>
        </row>
        <row r="501">
          <cell r="C501">
            <v>44.78</v>
          </cell>
        </row>
        <row r="502">
          <cell r="C502">
            <v>56.03</v>
          </cell>
        </row>
        <row r="503">
          <cell r="C503">
            <v>56.03</v>
          </cell>
        </row>
        <row r="504">
          <cell r="C504">
            <v>47.98</v>
          </cell>
        </row>
        <row r="505">
          <cell r="C505">
            <v>47.98</v>
          </cell>
        </row>
        <row r="506">
          <cell r="C506">
            <v>68.47</v>
          </cell>
        </row>
        <row r="507">
          <cell r="C507">
            <v>47.12</v>
          </cell>
        </row>
        <row r="508">
          <cell r="C508">
            <v>59.98</v>
          </cell>
        </row>
        <row r="509">
          <cell r="C509">
            <v>46.22</v>
          </cell>
        </row>
        <row r="510">
          <cell r="C510">
            <v>41.11</v>
          </cell>
        </row>
        <row r="511">
          <cell r="C511">
            <v>66.38</v>
          </cell>
        </row>
        <row r="512">
          <cell r="C512">
            <v>68.87</v>
          </cell>
        </row>
        <row r="513">
          <cell r="C513">
            <v>50.53</v>
          </cell>
        </row>
        <row r="514">
          <cell r="C514">
            <v>51.24</v>
          </cell>
        </row>
        <row r="515">
          <cell r="C515">
            <v>57.2</v>
          </cell>
        </row>
        <row r="516">
          <cell r="C516">
            <v>42.32</v>
          </cell>
        </row>
        <row r="517">
          <cell r="C517">
            <v>40.840000000000003</v>
          </cell>
        </row>
        <row r="518">
          <cell r="C518">
            <v>60.12</v>
          </cell>
        </row>
        <row r="519">
          <cell r="C519">
            <v>50.34</v>
          </cell>
        </row>
        <row r="520">
          <cell r="C520">
            <v>33.57</v>
          </cell>
        </row>
        <row r="521">
          <cell r="C521">
            <v>47.72</v>
          </cell>
        </row>
        <row r="522">
          <cell r="C522">
            <v>40.4</v>
          </cell>
        </row>
        <row r="523">
          <cell r="C523">
            <v>45.87</v>
          </cell>
        </row>
        <row r="524">
          <cell r="C524">
            <v>45.29</v>
          </cell>
        </row>
        <row r="525">
          <cell r="C525">
            <v>43.83</v>
          </cell>
        </row>
        <row r="526">
          <cell r="C526">
            <v>38.44</v>
          </cell>
        </row>
        <row r="527">
          <cell r="C527">
            <v>47.62</v>
          </cell>
        </row>
        <row r="528">
          <cell r="C528">
            <v>45.71</v>
          </cell>
        </row>
        <row r="529">
          <cell r="C529">
            <v>38.42</v>
          </cell>
        </row>
        <row r="530">
          <cell r="C530">
            <v>39.06</v>
          </cell>
        </row>
        <row r="531">
          <cell r="C531">
            <v>52.4</v>
          </cell>
        </row>
        <row r="532">
          <cell r="C532">
            <v>50.5</v>
          </cell>
        </row>
        <row r="533">
          <cell r="C533">
            <v>31.93</v>
          </cell>
        </row>
        <row r="534">
          <cell r="C534">
            <v>79.31</v>
          </cell>
        </row>
        <row r="535">
          <cell r="C535">
            <v>76.989999999999995</v>
          </cell>
        </row>
        <row r="536">
          <cell r="C536">
            <v>60.75</v>
          </cell>
        </row>
        <row r="537">
          <cell r="C537">
            <v>76.97</v>
          </cell>
        </row>
        <row r="538">
          <cell r="C538">
            <v>74.25</v>
          </cell>
        </row>
        <row r="539">
          <cell r="C539">
            <v>67.87</v>
          </cell>
        </row>
        <row r="540">
          <cell r="C540">
            <v>74.72</v>
          </cell>
        </row>
        <row r="541">
          <cell r="C541">
            <v>49.16</v>
          </cell>
        </row>
        <row r="542">
          <cell r="C542">
            <v>78.73</v>
          </cell>
        </row>
        <row r="543">
          <cell r="C543">
            <v>54.35</v>
          </cell>
        </row>
        <row r="544">
          <cell r="C544">
            <v>78.069999999999993</v>
          </cell>
        </row>
        <row r="545">
          <cell r="C545">
            <v>74.38</v>
          </cell>
        </row>
        <row r="546">
          <cell r="C546">
            <v>74.2</v>
          </cell>
        </row>
        <row r="547">
          <cell r="C547">
            <v>38.56</v>
          </cell>
        </row>
        <row r="548">
          <cell r="C548">
            <v>74.599999999999994</v>
          </cell>
        </row>
        <row r="549">
          <cell r="C549">
            <v>84.45</v>
          </cell>
        </row>
        <row r="550">
          <cell r="C550">
            <v>44.84</v>
          </cell>
        </row>
        <row r="551">
          <cell r="C551">
            <v>74.709999999999994</v>
          </cell>
        </row>
        <row r="552">
          <cell r="C552">
            <v>50</v>
          </cell>
        </row>
        <row r="553">
          <cell r="C553">
            <v>67.38</v>
          </cell>
        </row>
        <row r="554">
          <cell r="C554">
            <v>42.54</v>
          </cell>
        </row>
        <row r="555">
          <cell r="C555">
            <v>61.17</v>
          </cell>
        </row>
        <row r="556">
          <cell r="C556">
            <v>62.92</v>
          </cell>
        </row>
        <row r="557">
          <cell r="C557">
            <v>72.599999999999994</v>
          </cell>
        </row>
        <row r="558">
          <cell r="C558">
            <v>54.4</v>
          </cell>
        </row>
        <row r="559">
          <cell r="C559">
            <v>54.4</v>
          </cell>
        </row>
        <row r="560">
          <cell r="C560">
            <v>59.61</v>
          </cell>
        </row>
        <row r="561">
          <cell r="C561">
            <v>59.61</v>
          </cell>
        </row>
        <row r="562">
          <cell r="C562">
            <v>43.66</v>
          </cell>
        </row>
        <row r="563">
          <cell r="C563">
            <v>43.66</v>
          </cell>
        </row>
        <row r="564">
          <cell r="C564">
            <v>59.16</v>
          </cell>
        </row>
        <row r="565">
          <cell r="C565">
            <v>251.35</v>
          </cell>
        </row>
        <row r="566">
          <cell r="C566">
            <v>64.25</v>
          </cell>
        </row>
        <row r="567">
          <cell r="C567">
            <v>78.02</v>
          </cell>
        </row>
        <row r="568">
          <cell r="C568">
            <v>73.38</v>
          </cell>
        </row>
        <row r="569">
          <cell r="C569">
            <v>67.180000000000007</v>
          </cell>
        </row>
        <row r="570">
          <cell r="C570">
            <v>54.14</v>
          </cell>
        </row>
        <row r="571">
          <cell r="C571">
            <v>54.14</v>
          </cell>
        </row>
        <row r="572">
          <cell r="C572">
            <v>54.26</v>
          </cell>
        </row>
        <row r="573">
          <cell r="C573">
            <v>54.26</v>
          </cell>
        </row>
        <row r="574">
          <cell r="C574">
            <v>52.66</v>
          </cell>
        </row>
        <row r="575">
          <cell r="C575">
            <v>52.66</v>
          </cell>
        </row>
        <row r="576">
          <cell r="C576">
            <v>64.430000000000007</v>
          </cell>
        </row>
        <row r="577">
          <cell r="C577">
            <v>63.81</v>
          </cell>
        </row>
        <row r="578">
          <cell r="C578">
            <v>81.59</v>
          </cell>
        </row>
        <row r="579">
          <cell r="C579">
            <v>84.41</v>
          </cell>
        </row>
        <row r="580">
          <cell r="C580">
            <v>78.400000000000006</v>
          </cell>
        </row>
        <row r="581">
          <cell r="C581">
            <v>67.959999999999994</v>
          </cell>
        </row>
        <row r="582">
          <cell r="C582">
            <v>74.819999999999993</v>
          </cell>
        </row>
        <row r="583">
          <cell r="C583">
            <v>62.94</v>
          </cell>
        </row>
        <row r="584">
          <cell r="C584">
            <v>77.239999999999995</v>
          </cell>
        </row>
        <row r="585">
          <cell r="C585">
            <v>79.12</v>
          </cell>
        </row>
        <row r="586">
          <cell r="C586">
            <v>66.03</v>
          </cell>
        </row>
        <row r="587">
          <cell r="C587">
            <v>80.3</v>
          </cell>
        </row>
        <row r="588">
          <cell r="C588">
            <v>76.36</v>
          </cell>
        </row>
        <row r="589">
          <cell r="C589">
            <v>58.15</v>
          </cell>
        </row>
        <row r="590">
          <cell r="C590">
            <v>53.05</v>
          </cell>
        </row>
        <row r="591">
          <cell r="C591">
            <v>83.63</v>
          </cell>
        </row>
        <row r="592">
          <cell r="C592">
            <v>77.349999999999994</v>
          </cell>
        </row>
        <row r="593">
          <cell r="C593">
            <v>73.42</v>
          </cell>
        </row>
        <row r="594">
          <cell r="C594">
            <v>67.709999999999994</v>
          </cell>
        </row>
        <row r="595">
          <cell r="C595">
            <v>77.17</v>
          </cell>
        </row>
        <row r="596">
          <cell r="C596">
            <v>51.44</v>
          </cell>
        </row>
        <row r="597">
          <cell r="C597">
            <v>35.15</v>
          </cell>
        </row>
        <row r="598">
          <cell r="C598">
            <v>53.31</v>
          </cell>
        </row>
        <row r="599">
          <cell r="C599">
            <v>43.86</v>
          </cell>
        </row>
        <row r="600">
          <cell r="C600">
            <v>47.51</v>
          </cell>
        </row>
        <row r="601">
          <cell r="C601">
            <v>45.28</v>
          </cell>
        </row>
        <row r="602">
          <cell r="C602">
            <v>50.42</v>
          </cell>
        </row>
        <row r="603">
          <cell r="C603">
            <v>57.83</v>
          </cell>
        </row>
        <row r="604">
          <cell r="C604">
            <v>49.75</v>
          </cell>
        </row>
        <row r="605">
          <cell r="C605">
            <v>43.08</v>
          </cell>
        </row>
        <row r="606">
          <cell r="C606">
            <v>57.2</v>
          </cell>
        </row>
        <row r="607">
          <cell r="C607">
            <v>53.16</v>
          </cell>
        </row>
        <row r="608">
          <cell r="C608">
            <v>51.56</v>
          </cell>
        </row>
        <row r="609">
          <cell r="C609">
            <v>56.91</v>
          </cell>
        </row>
        <row r="610">
          <cell r="C610">
            <v>56.91</v>
          </cell>
        </row>
        <row r="611">
          <cell r="C611">
            <v>52.7</v>
          </cell>
        </row>
        <row r="612">
          <cell r="C612">
            <v>60.96</v>
          </cell>
        </row>
        <row r="613">
          <cell r="C613">
            <v>62.3</v>
          </cell>
        </row>
        <row r="614">
          <cell r="C614">
            <v>53.61</v>
          </cell>
        </row>
        <row r="615">
          <cell r="C615">
            <v>64.77</v>
          </cell>
        </row>
        <row r="616">
          <cell r="C616">
            <v>58.95</v>
          </cell>
        </row>
        <row r="617">
          <cell r="C617">
            <v>61.62</v>
          </cell>
        </row>
        <row r="618">
          <cell r="C618">
            <v>35.159999999999997</v>
          </cell>
        </row>
        <row r="619">
          <cell r="C619">
            <v>61</v>
          </cell>
        </row>
        <row r="620">
          <cell r="C620">
            <v>74.5</v>
          </cell>
        </row>
        <row r="621">
          <cell r="C621">
            <v>57.39</v>
          </cell>
        </row>
        <row r="622">
          <cell r="C622">
            <v>66.12</v>
          </cell>
        </row>
        <row r="623">
          <cell r="C623">
            <v>66.739999999999995</v>
          </cell>
        </row>
        <row r="624">
          <cell r="C624">
            <v>44.19</v>
          </cell>
        </row>
        <row r="625">
          <cell r="C625">
            <v>39.71</v>
          </cell>
        </row>
        <row r="626">
          <cell r="C626">
            <v>49.73</v>
          </cell>
        </row>
        <row r="627">
          <cell r="C627">
            <v>66.540000000000006</v>
          </cell>
        </row>
        <row r="628">
          <cell r="C628">
            <v>65.099999999999994</v>
          </cell>
        </row>
        <row r="629">
          <cell r="C629">
            <v>239.81</v>
          </cell>
        </row>
        <row r="630">
          <cell r="C630">
            <v>40.15</v>
          </cell>
        </row>
        <row r="631">
          <cell r="C631">
            <v>56.47</v>
          </cell>
        </row>
        <row r="632">
          <cell r="C632">
            <v>61.6</v>
          </cell>
        </row>
        <row r="633">
          <cell r="C633">
            <v>61.6</v>
          </cell>
        </row>
        <row r="634">
          <cell r="C634">
            <v>53.26</v>
          </cell>
        </row>
        <row r="635">
          <cell r="C635">
            <v>67.430000000000007</v>
          </cell>
        </row>
        <row r="636">
          <cell r="C636">
            <v>65.72</v>
          </cell>
        </row>
        <row r="637">
          <cell r="C637">
            <v>59.9</v>
          </cell>
        </row>
        <row r="638">
          <cell r="C638">
            <v>65.510000000000005</v>
          </cell>
        </row>
        <row r="639">
          <cell r="C639">
            <v>65.510000000000005</v>
          </cell>
        </row>
        <row r="640">
          <cell r="C640">
            <v>59.13</v>
          </cell>
        </row>
        <row r="641">
          <cell r="C641">
            <v>59.96</v>
          </cell>
        </row>
        <row r="642">
          <cell r="C642">
            <v>46.83</v>
          </cell>
        </row>
        <row r="643">
          <cell r="C643">
            <v>59.11</v>
          </cell>
        </row>
        <row r="644">
          <cell r="C644">
            <v>60.64</v>
          </cell>
        </row>
        <row r="645">
          <cell r="C645">
            <v>51.3</v>
          </cell>
        </row>
        <row r="646">
          <cell r="C646">
            <v>62.54</v>
          </cell>
        </row>
        <row r="647">
          <cell r="C647">
            <v>66.680000000000007</v>
          </cell>
        </row>
        <row r="648">
          <cell r="C648">
            <v>56.22</v>
          </cell>
        </row>
        <row r="649">
          <cell r="C649">
            <v>69.98</v>
          </cell>
        </row>
        <row r="650">
          <cell r="C650">
            <v>64.17</v>
          </cell>
        </row>
        <row r="651">
          <cell r="C651">
            <v>37.200000000000003</v>
          </cell>
        </row>
        <row r="652">
          <cell r="C652">
            <v>63.78</v>
          </cell>
        </row>
        <row r="653">
          <cell r="C653">
            <v>49.62</v>
          </cell>
        </row>
        <row r="654">
          <cell r="C654">
            <v>65.59</v>
          </cell>
        </row>
        <row r="655">
          <cell r="C655">
            <v>63.87</v>
          </cell>
        </row>
        <row r="656">
          <cell r="C656">
            <v>43.3</v>
          </cell>
        </row>
        <row r="657">
          <cell r="C657">
            <v>44.41</v>
          </cell>
        </row>
        <row r="658">
          <cell r="C658">
            <v>42.67</v>
          </cell>
        </row>
        <row r="659">
          <cell r="C659">
            <v>43.53</v>
          </cell>
        </row>
        <row r="660">
          <cell r="C660">
            <v>38.49</v>
          </cell>
        </row>
        <row r="661">
          <cell r="C661">
            <v>36.89</v>
          </cell>
        </row>
        <row r="662">
          <cell r="C662">
            <v>42.21</v>
          </cell>
        </row>
        <row r="663">
          <cell r="C663">
            <v>37.42</v>
          </cell>
        </row>
        <row r="664">
          <cell r="C664">
            <v>43.06</v>
          </cell>
        </row>
        <row r="665">
          <cell r="C665">
            <v>46.58</v>
          </cell>
        </row>
        <row r="666">
          <cell r="C666">
            <v>45.09</v>
          </cell>
        </row>
        <row r="667">
          <cell r="C667">
            <v>40.659999999999997</v>
          </cell>
        </row>
        <row r="668">
          <cell r="C668">
            <v>38.92</v>
          </cell>
        </row>
        <row r="669">
          <cell r="C669">
            <v>46.28</v>
          </cell>
        </row>
        <row r="670">
          <cell r="C670">
            <v>39.44</v>
          </cell>
        </row>
        <row r="671">
          <cell r="C671">
            <v>47.37</v>
          </cell>
        </row>
        <row r="672">
          <cell r="C672">
            <v>46.13</v>
          </cell>
        </row>
        <row r="673">
          <cell r="C673">
            <v>46.37</v>
          </cell>
        </row>
        <row r="674">
          <cell r="C674">
            <v>46.41</v>
          </cell>
        </row>
        <row r="675">
          <cell r="C675">
            <v>46.78</v>
          </cell>
        </row>
        <row r="676">
          <cell r="C676">
            <v>47.53</v>
          </cell>
        </row>
        <row r="677">
          <cell r="C677">
            <v>47.53</v>
          </cell>
        </row>
        <row r="678">
          <cell r="C678">
            <v>43.58</v>
          </cell>
        </row>
        <row r="679">
          <cell r="C679">
            <v>43.58</v>
          </cell>
        </row>
        <row r="680">
          <cell r="C680">
            <v>38.020000000000003</v>
          </cell>
        </row>
        <row r="681">
          <cell r="C681">
            <v>43.31</v>
          </cell>
        </row>
        <row r="682">
          <cell r="C682">
            <v>43.85</v>
          </cell>
        </row>
        <row r="683">
          <cell r="C683">
            <v>30.54</v>
          </cell>
        </row>
        <row r="684">
          <cell r="C684">
            <v>47.62</v>
          </cell>
        </row>
        <row r="685">
          <cell r="C685">
            <v>47.62</v>
          </cell>
        </row>
        <row r="686">
          <cell r="C686">
            <v>40.24</v>
          </cell>
        </row>
        <row r="687">
          <cell r="C687">
            <v>40.24</v>
          </cell>
        </row>
        <row r="688">
          <cell r="C688">
            <v>36.270000000000003</v>
          </cell>
        </row>
        <row r="689">
          <cell r="C689">
            <v>43.96</v>
          </cell>
        </row>
        <row r="690">
          <cell r="C690">
            <v>39.43</v>
          </cell>
        </row>
        <row r="691">
          <cell r="C691">
            <v>41.45</v>
          </cell>
        </row>
        <row r="692">
          <cell r="C692">
            <v>44.97</v>
          </cell>
        </row>
        <row r="693">
          <cell r="C693">
            <v>46.11</v>
          </cell>
        </row>
        <row r="694">
          <cell r="C694">
            <v>35.44</v>
          </cell>
        </row>
        <row r="695">
          <cell r="C695">
            <v>48.29</v>
          </cell>
        </row>
        <row r="696">
          <cell r="C696">
            <v>44.95</v>
          </cell>
        </row>
        <row r="697">
          <cell r="C697">
            <v>38.11</v>
          </cell>
        </row>
        <row r="698">
          <cell r="C698">
            <v>36.58</v>
          </cell>
        </row>
        <row r="699">
          <cell r="C699">
            <v>45.87</v>
          </cell>
        </row>
        <row r="700">
          <cell r="C700">
            <v>40.450000000000003</v>
          </cell>
        </row>
        <row r="701">
          <cell r="C701">
            <v>42.05</v>
          </cell>
        </row>
        <row r="702">
          <cell r="C702">
            <v>42.59</v>
          </cell>
        </row>
        <row r="703">
          <cell r="C703">
            <v>33.82</v>
          </cell>
        </row>
        <row r="704">
          <cell r="C704">
            <v>40.85</v>
          </cell>
        </row>
        <row r="705">
          <cell r="C705">
            <v>47.78</v>
          </cell>
        </row>
        <row r="706">
          <cell r="C706">
            <v>14.51</v>
          </cell>
        </row>
        <row r="707">
          <cell r="C707">
            <v>40.369999999999997</v>
          </cell>
        </row>
        <row r="708">
          <cell r="C708">
            <v>46.02</v>
          </cell>
        </row>
        <row r="709">
          <cell r="C709">
            <v>40.01</v>
          </cell>
        </row>
        <row r="710">
          <cell r="C710">
            <v>45.29</v>
          </cell>
        </row>
        <row r="711">
          <cell r="C711">
            <v>33.36</v>
          </cell>
        </row>
        <row r="712">
          <cell r="C712">
            <v>40.07</v>
          </cell>
        </row>
        <row r="713">
          <cell r="C713">
            <v>41.13</v>
          </cell>
        </row>
        <row r="714">
          <cell r="C714">
            <v>43.53</v>
          </cell>
        </row>
        <row r="715">
          <cell r="C715">
            <v>43.69</v>
          </cell>
        </row>
        <row r="716">
          <cell r="C716">
            <v>42.42</v>
          </cell>
        </row>
        <row r="717">
          <cell r="C717">
            <v>49.35</v>
          </cell>
        </row>
        <row r="718">
          <cell r="C718">
            <v>34.69</v>
          </cell>
        </row>
        <row r="719">
          <cell r="C719">
            <v>45.27</v>
          </cell>
        </row>
        <row r="720">
          <cell r="C720">
            <v>49.2</v>
          </cell>
        </row>
        <row r="721">
          <cell r="C721">
            <v>49.2</v>
          </cell>
        </row>
        <row r="722">
          <cell r="C722">
            <v>43</v>
          </cell>
        </row>
        <row r="723">
          <cell r="C723">
            <v>51.09</v>
          </cell>
        </row>
        <row r="724">
          <cell r="C724">
            <v>39.74</v>
          </cell>
        </row>
        <row r="725">
          <cell r="C725">
            <v>48.32</v>
          </cell>
        </row>
        <row r="726">
          <cell r="C726">
            <v>48.32</v>
          </cell>
        </row>
        <row r="727">
          <cell r="C727">
            <v>37.93</v>
          </cell>
        </row>
        <row r="728">
          <cell r="C728">
            <v>50.03</v>
          </cell>
        </row>
        <row r="729">
          <cell r="C729">
            <v>48.21</v>
          </cell>
        </row>
        <row r="730">
          <cell r="C730">
            <v>45.04</v>
          </cell>
        </row>
        <row r="731">
          <cell r="C731">
            <v>41.93</v>
          </cell>
        </row>
        <row r="732">
          <cell r="C732">
            <v>38.619999999999997</v>
          </cell>
        </row>
        <row r="733">
          <cell r="C733">
            <v>46.68</v>
          </cell>
        </row>
        <row r="734">
          <cell r="C734">
            <v>54.29</v>
          </cell>
        </row>
        <row r="735">
          <cell r="C735">
            <v>39</v>
          </cell>
        </row>
        <row r="736">
          <cell r="C736">
            <v>37.619999999999997</v>
          </cell>
        </row>
        <row r="737">
          <cell r="C737">
            <v>63.13</v>
          </cell>
        </row>
        <row r="738">
          <cell r="C738">
            <v>58.39</v>
          </cell>
        </row>
        <row r="739">
          <cell r="C739">
            <v>65.98</v>
          </cell>
        </row>
        <row r="740">
          <cell r="C740">
            <v>68.260000000000005</v>
          </cell>
        </row>
        <row r="741">
          <cell r="C741">
            <v>263.29000000000002</v>
          </cell>
        </row>
        <row r="742">
          <cell r="C742">
            <v>54.24</v>
          </cell>
        </row>
        <row r="743">
          <cell r="C743">
            <v>195.24</v>
          </cell>
        </row>
        <row r="744">
          <cell r="C744">
            <v>71.81</v>
          </cell>
        </row>
        <row r="745">
          <cell r="C745">
            <v>74.400000000000006</v>
          </cell>
        </row>
        <row r="746">
          <cell r="C746">
            <v>74.400000000000006</v>
          </cell>
        </row>
        <row r="747">
          <cell r="C747">
            <v>62.07</v>
          </cell>
        </row>
        <row r="748">
          <cell r="C748">
            <v>216.96</v>
          </cell>
        </row>
        <row r="749">
          <cell r="C749">
            <v>74.87</v>
          </cell>
        </row>
        <row r="750">
          <cell r="C750">
            <v>69.44</v>
          </cell>
        </row>
        <row r="751">
          <cell r="C751">
            <v>69.44</v>
          </cell>
        </row>
        <row r="752">
          <cell r="C752">
            <v>64.91</v>
          </cell>
        </row>
        <row r="753">
          <cell r="C753">
            <v>72.38</v>
          </cell>
        </row>
        <row r="754">
          <cell r="C754">
            <v>62.87</v>
          </cell>
        </row>
        <row r="755">
          <cell r="C755">
            <v>54.1</v>
          </cell>
        </row>
        <row r="756">
          <cell r="C756">
            <v>96.57</v>
          </cell>
        </row>
        <row r="757">
          <cell r="C757">
            <v>68.38</v>
          </cell>
        </row>
        <row r="758">
          <cell r="C758">
            <v>53.61</v>
          </cell>
        </row>
        <row r="759">
          <cell r="C759">
            <v>53.71</v>
          </cell>
        </row>
        <row r="760">
          <cell r="C760">
            <v>53.47</v>
          </cell>
        </row>
        <row r="761">
          <cell r="C761">
            <v>60.24</v>
          </cell>
        </row>
        <row r="762">
          <cell r="C762">
            <v>56.04</v>
          </cell>
        </row>
        <row r="763">
          <cell r="C763">
            <v>55.01</v>
          </cell>
        </row>
        <row r="764">
          <cell r="C764">
            <v>49.52</v>
          </cell>
        </row>
        <row r="765">
          <cell r="C765">
            <v>53.41</v>
          </cell>
        </row>
        <row r="766">
          <cell r="C766">
            <v>57.39</v>
          </cell>
        </row>
        <row r="767">
          <cell r="C767">
            <v>39.93</v>
          </cell>
        </row>
        <row r="768">
          <cell r="C768">
            <v>52.22</v>
          </cell>
        </row>
        <row r="769">
          <cell r="C769">
            <v>55.7</v>
          </cell>
        </row>
        <row r="770">
          <cell r="C770">
            <v>51.41</v>
          </cell>
        </row>
        <row r="771">
          <cell r="C771">
            <v>50.14</v>
          </cell>
        </row>
        <row r="772">
          <cell r="C772">
            <v>46.92</v>
          </cell>
        </row>
        <row r="773">
          <cell r="C773">
            <v>53.21</v>
          </cell>
        </row>
        <row r="774">
          <cell r="C774">
            <v>54.34</v>
          </cell>
        </row>
        <row r="775">
          <cell r="C775">
            <v>52.56</v>
          </cell>
        </row>
        <row r="776">
          <cell r="C776">
            <v>49.9</v>
          </cell>
        </row>
        <row r="777">
          <cell r="C777">
            <v>50.52</v>
          </cell>
        </row>
        <row r="778">
          <cell r="C778">
            <v>54.1</v>
          </cell>
        </row>
        <row r="779">
          <cell r="C779">
            <v>54.74</v>
          </cell>
        </row>
        <row r="780">
          <cell r="C780">
            <v>49.4</v>
          </cell>
        </row>
        <row r="781">
          <cell r="C781">
            <v>49.85</v>
          </cell>
        </row>
        <row r="782">
          <cell r="C782">
            <v>51.02</v>
          </cell>
        </row>
        <row r="783">
          <cell r="C783">
            <v>48.52</v>
          </cell>
        </row>
        <row r="784">
          <cell r="C784">
            <v>43.35</v>
          </cell>
        </row>
        <row r="785">
          <cell r="C785">
            <v>52.72</v>
          </cell>
        </row>
        <row r="786">
          <cell r="C786">
            <v>49.43</v>
          </cell>
        </row>
        <row r="787">
          <cell r="C787">
            <v>54.67</v>
          </cell>
        </row>
        <row r="788">
          <cell r="C788">
            <v>42.73</v>
          </cell>
        </row>
        <row r="789">
          <cell r="C789">
            <v>53.81</v>
          </cell>
        </row>
        <row r="790">
          <cell r="C790">
            <v>53.81</v>
          </cell>
        </row>
        <row r="791">
          <cell r="C791">
            <v>45.92</v>
          </cell>
        </row>
        <row r="792">
          <cell r="C792">
            <v>39.68</v>
          </cell>
        </row>
        <row r="793">
          <cell r="C793">
            <v>55.51</v>
          </cell>
        </row>
        <row r="794">
          <cell r="C794">
            <v>50</v>
          </cell>
        </row>
        <row r="795">
          <cell r="C795">
            <v>35.26</v>
          </cell>
        </row>
        <row r="796">
          <cell r="C796">
            <v>50.21</v>
          </cell>
        </row>
        <row r="797">
          <cell r="C797">
            <v>45.87</v>
          </cell>
        </row>
        <row r="798">
          <cell r="C798">
            <v>44.23</v>
          </cell>
        </row>
        <row r="799">
          <cell r="C799">
            <v>52.61</v>
          </cell>
        </row>
        <row r="800">
          <cell r="C800">
            <v>52.61</v>
          </cell>
        </row>
        <row r="801">
          <cell r="C801">
            <v>56.43</v>
          </cell>
        </row>
        <row r="802">
          <cell r="C802">
            <v>46.04</v>
          </cell>
        </row>
        <row r="803">
          <cell r="C803">
            <v>47.41</v>
          </cell>
        </row>
        <row r="804">
          <cell r="C804">
            <v>46.03</v>
          </cell>
        </row>
        <row r="805">
          <cell r="C805">
            <v>42.96</v>
          </cell>
        </row>
        <row r="806">
          <cell r="C806">
            <v>45.22</v>
          </cell>
        </row>
        <row r="807">
          <cell r="C807">
            <v>50.14</v>
          </cell>
        </row>
        <row r="808">
          <cell r="C808">
            <v>49.37</v>
          </cell>
        </row>
        <row r="809">
          <cell r="C809">
            <v>54.03</v>
          </cell>
        </row>
        <row r="810">
          <cell r="C810">
            <v>55.45</v>
          </cell>
        </row>
        <row r="811">
          <cell r="C811">
            <v>43.5</v>
          </cell>
        </row>
        <row r="812">
          <cell r="C812">
            <v>46.72</v>
          </cell>
        </row>
        <row r="813">
          <cell r="C813">
            <v>42.61</v>
          </cell>
        </row>
        <row r="814">
          <cell r="C814">
            <v>51.61</v>
          </cell>
        </row>
        <row r="815">
          <cell r="C815">
            <v>50.73</v>
          </cell>
        </row>
        <row r="816">
          <cell r="C816">
            <v>52.8</v>
          </cell>
        </row>
        <row r="817">
          <cell r="C817">
            <v>55.08</v>
          </cell>
        </row>
        <row r="818">
          <cell r="C818">
            <v>51.59</v>
          </cell>
        </row>
        <row r="819">
          <cell r="C819">
            <v>50.3</v>
          </cell>
        </row>
        <row r="820">
          <cell r="C820">
            <v>54.15</v>
          </cell>
        </row>
        <row r="821">
          <cell r="C821">
            <v>54.33</v>
          </cell>
        </row>
        <row r="822">
          <cell r="C822">
            <v>46.13</v>
          </cell>
        </row>
        <row r="823">
          <cell r="C823">
            <v>57.43</v>
          </cell>
        </row>
        <row r="824">
          <cell r="C824">
            <v>54.43</v>
          </cell>
        </row>
        <row r="825">
          <cell r="C825">
            <v>48.2</v>
          </cell>
        </row>
        <row r="826">
          <cell r="C826">
            <v>56.21</v>
          </cell>
        </row>
        <row r="827">
          <cell r="C827">
            <v>50.9</v>
          </cell>
        </row>
        <row r="828">
          <cell r="C828">
            <v>55.6</v>
          </cell>
        </row>
        <row r="829">
          <cell r="C829">
            <v>55.11</v>
          </cell>
        </row>
        <row r="830">
          <cell r="C830">
            <v>55.94</v>
          </cell>
        </row>
        <row r="831">
          <cell r="C831">
            <v>49.35</v>
          </cell>
        </row>
        <row r="832">
          <cell r="C832">
            <v>56.57</v>
          </cell>
        </row>
        <row r="833">
          <cell r="C833">
            <v>27.61</v>
          </cell>
        </row>
        <row r="834">
          <cell r="C834">
            <v>28.64</v>
          </cell>
        </row>
        <row r="835">
          <cell r="C835">
            <v>28.47</v>
          </cell>
        </row>
        <row r="836">
          <cell r="C836">
            <v>25.76</v>
          </cell>
        </row>
        <row r="837">
          <cell r="C837">
            <v>27.69</v>
          </cell>
        </row>
        <row r="838">
          <cell r="C838">
            <v>31.04</v>
          </cell>
        </row>
        <row r="839">
          <cell r="C839">
            <v>31.51</v>
          </cell>
        </row>
        <row r="840">
          <cell r="C840">
            <v>23.41</v>
          </cell>
        </row>
        <row r="841">
          <cell r="C841">
            <v>28.46</v>
          </cell>
        </row>
        <row r="842">
          <cell r="C842">
            <v>30.88</v>
          </cell>
        </row>
        <row r="843">
          <cell r="C843">
            <v>28.79</v>
          </cell>
        </row>
        <row r="844">
          <cell r="C844">
            <v>29.95</v>
          </cell>
        </row>
        <row r="845">
          <cell r="C845">
            <v>26.13</v>
          </cell>
        </row>
        <row r="846">
          <cell r="C846">
            <v>26.82</v>
          </cell>
        </row>
        <row r="847">
          <cell r="C847">
            <v>30.19</v>
          </cell>
        </row>
        <row r="848">
          <cell r="C848">
            <v>28.77</v>
          </cell>
        </row>
        <row r="849">
          <cell r="C849">
            <v>28.81</v>
          </cell>
        </row>
        <row r="850">
          <cell r="C850">
            <v>29.24</v>
          </cell>
        </row>
        <row r="851">
          <cell r="C851">
            <v>25.4</v>
          </cell>
        </row>
        <row r="852">
          <cell r="C852">
            <v>28.87</v>
          </cell>
        </row>
        <row r="853">
          <cell r="C853">
            <v>30.61</v>
          </cell>
        </row>
        <row r="854">
          <cell r="C854">
            <v>30.61</v>
          </cell>
        </row>
        <row r="855">
          <cell r="C855">
            <v>27.22</v>
          </cell>
        </row>
        <row r="856">
          <cell r="C856">
            <v>27.22</v>
          </cell>
        </row>
        <row r="857">
          <cell r="C857">
            <v>30.52</v>
          </cell>
        </row>
        <row r="858">
          <cell r="C858">
            <v>28.17</v>
          </cell>
        </row>
        <row r="859">
          <cell r="C859">
            <v>30.59</v>
          </cell>
        </row>
        <row r="860">
          <cell r="C860">
            <v>25.99</v>
          </cell>
        </row>
        <row r="861">
          <cell r="C861">
            <v>28.12</v>
          </cell>
        </row>
        <row r="862">
          <cell r="C862">
            <v>28.12</v>
          </cell>
        </row>
        <row r="863">
          <cell r="C863">
            <v>28.52</v>
          </cell>
        </row>
        <row r="864">
          <cell r="C864">
            <v>31.98</v>
          </cell>
        </row>
        <row r="865">
          <cell r="C865">
            <v>24.74</v>
          </cell>
        </row>
        <row r="866">
          <cell r="C866">
            <v>30.71</v>
          </cell>
        </row>
        <row r="867">
          <cell r="C867">
            <v>29.06</v>
          </cell>
        </row>
        <row r="868">
          <cell r="C868">
            <v>26.92</v>
          </cell>
        </row>
        <row r="869">
          <cell r="C869">
            <v>31.69</v>
          </cell>
        </row>
        <row r="870">
          <cell r="C870">
            <v>25.23</v>
          </cell>
        </row>
        <row r="871">
          <cell r="C871">
            <v>30.03</v>
          </cell>
        </row>
        <row r="872">
          <cell r="C872">
            <v>29.63</v>
          </cell>
        </row>
        <row r="873">
          <cell r="C873">
            <v>30.96</v>
          </cell>
        </row>
        <row r="874">
          <cell r="C874">
            <v>31.16</v>
          </cell>
        </row>
        <row r="875">
          <cell r="C875">
            <v>21.02</v>
          </cell>
        </row>
        <row r="876">
          <cell r="C876">
            <v>24.49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elichting"/>
      <sheetName val="Dieselolie 2017"/>
      <sheetName val="Euro 95 2017"/>
      <sheetName val="Elektra 2017"/>
      <sheetName val="CO2-footprint 2017"/>
      <sheetName val="Dieselolie 2018"/>
      <sheetName val="Euro 95 2018"/>
      <sheetName val="Elektra 2018"/>
      <sheetName val="CO2-footprint 2018"/>
      <sheetName val="Dieselolie 2019"/>
      <sheetName val="Euro 95 2019"/>
      <sheetName val="Stadswarmte 2019"/>
      <sheetName val="Elektra 2019"/>
      <sheetName val="CO-2 Footprint 2019"/>
      <sheetName val="Dieselolie 2020"/>
      <sheetName val="Euro 95 2020"/>
      <sheetName val="Stadswarmte 2020"/>
      <sheetName val="Elektra 2020"/>
      <sheetName val="CO-2 Footprint 2020"/>
    </sheetNames>
    <sheetDataSet>
      <sheetData sheetId="0" refreshError="1"/>
      <sheetData sheetId="1" refreshError="1">
        <row r="8">
          <cell r="B8">
            <v>33037</v>
          </cell>
          <cell r="C8">
            <v>109319.433</v>
          </cell>
        </row>
      </sheetData>
      <sheetData sheetId="2" refreshError="1">
        <row r="8">
          <cell r="B8">
            <v>4066.68</v>
          </cell>
          <cell r="C8">
            <v>11728.305119999999</v>
          </cell>
        </row>
      </sheetData>
      <sheetData sheetId="3" refreshError="1">
        <row r="2">
          <cell r="B2">
            <v>18802.404999999999</v>
          </cell>
          <cell r="D2">
            <v>0</v>
          </cell>
        </row>
      </sheetData>
      <sheetData sheetId="4" refreshError="1"/>
      <sheetData sheetId="5" refreshError="1"/>
      <sheetData sheetId="6" refreshError="1"/>
      <sheetData sheetId="7" refreshError="1">
        <row r="14">
          <cell r="B14">
            <v>550.45699999999999</v>
          </cell>
        </row>
      </sheetData>
      <sheetData sheetId="8" refreshError="1">
        <row r="5">
          <cell r="B5">
            <v>45653.87</v>
          </cell>
          <cell r="E5">
            <v>151068.65583</v>
          </cell>
        </row>
        <row r="6">
          <cell r="B6">
            <v>9783.48</v>
          </cell>
          <cell r="E6">
            <v>28215.556319999996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>
        <row r="5">
          <cell r="E5">
            <v>145451.85996</v>
          </cell>
          <cell r="G5">
            <v>0.80515360495708821</v>
          </cell>
        </row>
        <row r="6">
          <cell r="E6">
            <v>29057.943879999999</v>
          </cell>
          <cell r="G6">
            <v>0.16085121409968087</v>
          </cell>
        </row>
        <row r="7">
          <cell r="B7">
            <v>396.4</v>
          </cell>
          <cell r="E7">
            <v>1143.2175999999999</v>
          </cell>
          <cell r="G7">
            <v>6.3283190200766302E-3</v>
          </cell>
        </row>
        <row r="9">
          <cell r="E9">
            <v>175653.02144000001</v>
          </cell>
          <cell r="G9">
            <v>0.97233313807684585</v>
          </cell>
        </row>
        <row r="11">
          <cell r="G11">
            <v>0</v>
          </cell>
        </row>
        <row r="12">
          <cell r="E12">
            <v>2616.4025600000004</v>
          </cell>
          <cell r="G12">
            <v>1.4483183328025383E-2</v>
          </cell>
        </row>
        <row r="13">
          <cell r="A13" t="str">
            <v>Stadswarmte</v>
          </cell>
          <cell r="B13">
            <v>66.212000000000003</v>
          </cell>
          <cell r="C13" t="str">
            <v>GJ</v>
          </cell>
          <cell r="E13">
            <v>2381.6456400000002</v>
          </cell>
          <cell r="G13">
            <v>1.3183678595128855E-2</v>
          </cell>
        </row>
        <row r="14">
          <cell r="E14">
            <v>4998.0482000000011</v>
          </cell>
          <cell r="G14">
            <v>2.7666861923154241E-2</v>
          </cell>
        </row>
        <row r="16">
          <cell r="E16">
            <v>180651.06964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>
        <row r="5">
          <cell r="B5">
            <v>38363.590000000004</v>
          </cell>
          <cell r="E5">
            <v>125142.03058000001</v>
          </cell>
        </row>
        <row r="6">
          <cell r="B6">
            <v>8449.6999999999989</v>
          </cell>
          <cell r="E6">
            <v>23523.964799999994</v>
          </cell>
        </row>
        <row r="11">
          <cell r="A11" t="str">
            <v>1. Zonnenergie</v>
          </cell>
          <cell r="B11">
            <v>10704.864999999996</v>
          </cell>
          <cell r="E11">
            <v>0</v>
          </cell>
        </row>
        <row r="12">
          <cell r="A12" t="str">
            <v xml:space="preserve">2. Opladen elektrische auto SK-37-1X </v>
          </cell>
          <cell r="B12">
            <v>4581.6220000000003</v>
          </cell>
          <cell r="E12">
            <v>2547.3818320000005</v>
          </cell>
        </row>
        <row r="13">
          <cell r="A13" t="str">
            <v>Stadswarmte</v>
          </cell>
        </row>
      </sheetData>
    </sheetDataSet>
  </externalBook>
</externalLink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19"/>
  <sheetViews>
    <sheetView showGridLines="0" topLeftCell="A2" zoomScaleNormal="100" workbookViewId="0">
      <selection activeCell="C4" sqref="C4"/>
    </sheetView>
  </sheetViews>
  <sheetFormatPr defaultColWidth="0" defaultRowHeight="12.75" x14ac:dyDescent="0.2"/>
  <cols>
    <col min="1" max="10" width="8.85546875" customWidth="1"/>
    <col min="11" max="16384" width="9.140625" hidden="1"/>
  </cols>
  <sheetData>
    <row r="3" spans="2:13" ht="18" x14ac:dyDescent="0.25">
      <c r="C3" s="403" t="s">
        <v>192</v>
      </c>
      <c r="D3" s="404"/>
      <c r="E3" s="404"/>
      <c r="F3" s="404"/>
      <c r="G3" s="404"/>
      <c r="H3" s="404"/>
      <c r="I3" s="404"/>
    </row>
    <row r="6" spans="2:13" x14ac:dyDescent="0.2">
      <c r="B6" s="2" t="s">
        <v>0</v>
      </c>
    </row>
    <row r="7" spans="2:13" ht="12.75" customHeight="1" x14ac:dyDescent="0.2">
      <c r="B7" s="401" t="s">
        <v>1</v>
      </c>
      <c r="C7" s="402"/>
      <c r="D7" s="402"/>
      <c r="E7" s="402"/>
      <c r="F7" s="402"/>
      <c r="G7" s="402"/>
      <c r="H7" s="402"/>
      <c r="I7" s="402"/>
      <c r="J7" s="402"/>
    </row>
    <row r="8" spans="2:13" x14ac:dyDescent="0.2">
      <c r="B8" s="402"/>
      <c r="C8" s="402"/>
      <c r="D8" s="402"/>
      <c r="E8" s="402"/>
      <c r="F8" s="402"/>
      <c r="G8" s="402"/>
      <c r="H8" s="402"/>
      <c r="I8" s="402"/>
      <c r="J8" s="402"/>
    </row>
    <row r="9" spans="2:13" x14ac:dyDescent="0.2">
      <c r="B9" s="402"/>
      <c r="C9" s="402"/>
      <c r="D9" s="402"/>
      <c r="E9" s="402"/>
      <c r="F9" s="402"/>
      <c r="G9" s="402"/>
      <c r="H9" s="402"/>
      <c r="I9" s="402"/>
      <c r="J9" s="402"/>
    </row>
    <row r="10" spans="2:13" x14ac:dyDescent="0.2">
      <c r="B10" s="402"/>
      <c r="C10" s="402"/>
      <c r="D10" s="402"/>
      <c r="E10" s="402"/>
      <c r="F10" s="402"/>
      <c r="G10" s="402"/>
      <c r="H10" s="402"/>
      <c r="I10" s="402"/>
      <c r="J10" s="402"/>
    </row>
    <row r="11" spans="2:13" x14ac:dyDescent="0.2">
      <c r="B11" s="402"/>
      <c r="C11" s="402"/>
      <c r="D11" s="402"/>
      <c r="E11" s="402"/>
      <c r="F11" s="402"/>
      <c r="G11" s="402"/>
      <c r="H11" s="402"/>
      <c r="I11" s="402"/>
      <c r="J11" s="402"/>
    </row>
    <row r="12" spans="2:13" ht="41.25" customHeight="1" x14ac:dyDescent="0.2">
      <c r="B12" s="401" t="s">
        <v>2</v>
      </c>
      <c r="C12" s="402"/>
      <c r="D12" s="402"/>
      <c r="E12" s="402"/>
      <c r="F12" s="402"/>
      <c r="G12" s="402"/>
      <c r="H12" s="402"/>
      <c r="I12" s="402"/>
      <c r="J12" s="402"/>
    </row>
    <row r="13" spans="2:13" ht="30" customHeight="1" x14ac:dyDescent="0.2">
      <c r="B13" s="406" t="s">
        <v>3</v>
      </c>
      <c r="C13" s="407"/>
      <c r="D13" s="407"/>
      <c r="E13" s="407"/>
      <c r="F13" s="407"/>
      <c r="G13" s="407"/>
      <c r="H13" s="407"/>
      <c r="I13" s="407"/>
      <c r="J13" s="118"/>
    </row>
    <row r="14" spans="2:13" x14ac:dyDescent="0.2">
      <c r="B14" s="405"/>
      <c r="C14" s="405"/>
      <c r="D14" s="405"/>
      <c r="E14" s="405"/>
      <c r="F14" s="405"/>
      <c r="G14" s="405"/>
      <c r="H14" s="405"/>
      <c r="I14" s="405"/>
      <c r="J14" s="405"/>
    </row>
    <row r="15" spans="2:13" ht="33.75" customHeight="1" x14ac:dyDescent="0.2">
      <c r="B15" s="401" t="s">
        <v>4</v>
      </c>
      <c r="C15" s="402"/>
      <c r="D15" s="402"/>
      <c r="E15" s="402" t="s">
        <v>2</v>
      </c>
      <c r="F15" s="402"/>
      <c r="G15" s="402"/>
      <c r="H15" s="402"/>
      <c r="I15" s="402"/>
      <c r="J15" s="402"/>
      <c r="K15" s="401"/>
      <c r="L15" s="402"/>
      <c r="M15" s="402"/>
    </row>
    <row r="16" spans="2:13" x14ac:dyDescent="0.2">
      <c r="B16" s="401"/>
      <c r="C16" s="402"/>
      <c r="D16" s="402"/>
      <c r="E16" s="402"/>
      <c r="F16" s="402"/>
      <c r="G16" s="402"/>
      <c r="H16" s="402"/>
      <c r="I16" s="402"/>
      <c r="J16" s="402"/>
      <c r="K16" s="401"/>
      <c r="L16" s="402"/>
      <c r="M16" s="402"/>
    </row>
    <row r="17" spans="1:10" x14ac:dyDescent="0.2">
      <c r="A17" s="400" t="s">
        <v>5</v>
      </c>
      <c r="B17" s="400"/>
      <c r="C17" s="400"/>
      <c r="D17" s="400"/>
      <c r="E17" s="400"/>
      <c r="F17" s="400"/>
      <c r="G17" s="400"/>
      <c r="H17" s="400"/>
      <c r="I17" s="400"/>
      <c r="J17" s="400"/>
    </row>
    <row r="18" spans="1:10" x14ac:dyDescent="0.2">
      <c r="A18" s="400"/>
      <c r="B18" s="400"/>
      <c r="C18" s="400"/>
      <c r="D18" s="400"/>
      <c r="E18" s="400"/>
      <c r="F18" s="400"/>
      <c r="G18" s="400"/>
      <c r="H18" s="400"/>
      <c r="I18" s="400"/>
      <c r="J18" s="400"/>
    </row>
    <row r="19" spans="1:10" x14ac:dyDescent="0.2">
      <c r="A19" s="400"/>
      <c r="B19" s="400"/>
      <c r="C19" s="400"/>
      <c r="D19" s="400"/>
      <c r="E19" s="400"/>
      <c r="F19" s="400"/>
      <c r="G19" s="400"/>
      <c r="H19" s="400"/>
      <c r="I19" s="400"/>
      <c r="J19" s="400"/>
    </row>
  </sheetData>
  <mergeCells count="10">
    <mergeCell ref="C3:I3"/>
    <mergeCell ref="B14:J14"/>
    <mergeCell ref="B13:I13"/>
    <mergeCell ref="B15:J15"/>
    <mergeCell ref="K15:M15"/>
    <mergeCell ref="A17:J19"/>
    <mergeCell ref="B16:J16"/>
    <mergeCell ref="K16:M16"/>
    <mergeCell ref="B7:J11"/>
    <mergeCell ref="B12:J12"/>
  </mergeCells>
  <pageMargins left="0.7" right="0.7" top="0.75" bottom="0.75" header="0.3" footer="0.3"/>
  <pageSetup paperSize="9" orientation="portrait" r:id="rId1"/>
  <headerFooter>
    <oddHeader xml:space="preserve">&amp;LVERSIE 3 februari 2020
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27"/>
  <sheetViews>
    <sheetView view="pageLayout" topLeftCell="A19" zoomScale="130" zoomScaleNormal="100" zoomScalePageLayoutView="130" workbookViewId="0">
      <selection activeCell="B15" sqref="B15"/>
    </sheetView>
  </sheetViews>
  <sheetFormatPr defaultColWidth="9.140625" defaultRowHeight="12.75" x14ac:dyDescent="0.2"/>
  <cols>
    <col min="1" max="1" width="27.28515625" style="121" customWidth="1"/>
    <col min="2" max="2" width="31.42578125" style="121" customWidth="1"/>
    <col min="3" max="16384" width="9.140625" style="121"/>
  </cols>
  <sheetData>
    <row r="3" spans="1:5" ht="15.75" x14ac:dyDescent="0.2">
      <c r="A3" s="119" t="s">
        <v>6</v>
      </c>
      <c r="B3" s="120" t="s">
        <v>66</v>
      </c>
    </row>
    <row r="4" spans="1:5" ht="15.75" x14ac:dyDescent="0.2">
      <c r="A4" s="119"/>
      <c r="B4" s="122"/>
    </row>
    <row r="5" spans="1:5" x14ac:dyDescent="0.2">
      <c r="A5" s="123" t="s">
        <v>8</v>
      </c>
      <c r="B5" s="124">
        <v>3.3090000000000002</v>
      </c>
    </row>
    <row r="6" spans="1:5" x14ac:dyDescent="0.2">
      <c r="A6" s="122"/>
      <c r="B6" s="122"/>
      <c r="C6" s="125"/>
    </row>
    <row r="7" spans="1:5" x14ac:dyDescent="0.2">
      <c r="A7" s="316"/>
      <c r="B7" s="172" t="s">
        <v>9</v>
      </c>
      <c r="C7" s="317" t="s">
        <v>10</v>
      </c>
    </row>
    <row r="8" spans="1:5" x14ac:dyDescent="0.2">
      <c r="A8" s="318" t="s">
        <v>67</v>
      </c>
      <c r="B8" s="319">
        <f>SUM(C13:C26)</f>
        <v>43956.439999999995</v>
      </c>
      <c r="C8" s="173">
        <f>B8*B5</f>
        <v>145451.85996</v>
      </c>
    </row>
    <row r="9" spans="1:5" x14ac:dyDescent="0.2">
      <c r="A9" s="126"/>
      <c r="B9" s="174"/>
      <c r="C9" s="175"/>
    </row>
    <row r="10" spans="1:5" x14ac:dyDescent="0.2">
      <c r="A10" s="127" t="s">
        <v>12</v>
      </c>
      <c r="B10" s="162">
        <f>B8</f>
        <v>43956.439999999995</v>
      </c>
      <c r="C10" s="163">
        <f>C8</f>
        <v>145451.85996</v>
      </c>
    </row>
    <row r="12" spans="1:5" ht="15" x14ac:dyDescent="0.2">
      <c r="A12" s="320" t="s">
        <v>68</v>
      </c>
      <c r="B12" s="128" t="s">
        <v>24</v>
      </c>
      <c r="C12" s="176" t="s">
        <v>9</v>
      </c>
      <c r="D12" s="176" t="s">
        <v>15</v>
      </c>
      <c r="E12" s="176" t="s">
        <v>69</v>
      </c>
    </row>
    <row r="13" spans="1:5" x14ac:dyDescent="0.2">
      <c r="A13" s="130" t="s">
        <v>70</v>
      </c>
      <c r="B13" s="129" t="s">
        <v>71</v>
      </c>
      <c r="C13" s="171">
        <v>9927.0499999999993</v>
      </c>
      <c r="D13" s="171">
        <f>C13*B5</f>
        <v>32848.60845</v>
      </c>
      <c r="E13" s="178"/>
    </row>
    <row r="14" spans="1:5" x14ac:dyDescent="0.2">
      <c r="A14" s="130" t="s">
        <v>72</v>
      </c>
      <c r="B14" s="129" t="s">
        <v>71</v>
      </c>
      <c r="C14" s="171">
        <v>7593.06</v>
      </c>
      <c r="D14" s="171">
        <f>C14*B5</f>
        <v>25125.435540000002</v>
      </c>
      <c r="E14" s="178"/>
    </row>
    <row r="15" spans="1:5" x14ac:dyDescent="0.2">
      <c r="A15" s="130" t="s">
        <v>73</v>
      </c>
      <c r="B15" s="129" t="s">
        <v>71</v>
      </c>
      <c r="C15" s="171">
        <v>5021.28</v>
      </c>
      <c r="D15" s="171">
        <f>C15*B5</f>
        <v>16615.415519999999</v>
      </c>
      <c r="E15" s="178"/>
    </row>
    <row r="16" spans="1:5" x14ac:dyDescent="0.2">
      <c r="A16" s="130" t="s">
        <v>74</v>
      </c>
      <c r="B16" s="129" t="s">
        <v>71</v>
      </c>
      <c r="C16" s="131">
        <f>SUM([1]fuelvolume!$C$534:$C$595)</f>
        <v>4272.2100000000009</v>
      </c>
      <c r="D16" s="131">
        <f>C16*B5</f>
        <v>14136.742890000003</v>
      </c>
      <c r="E16" s="178"/>
    </row>
    <row r="17" spans="1:5" x14ac:dyDescent="0.2">
      <c r="A17" s="130" t="s">
        <v>75</v>
      </c>
      <c r="B17" s="129" t="s">
        <v>71</v>
      </c>
      <c r="C17" s="131">
        <f>SUM([1]fuelvolume!$C$456:$C$533)</f>
        <v>3814.2300000000005</v>
      </c>
      <c r="D17" s="131">
        <f>C17*B5</f>
        <v>12621.287070000002</v>
      </c>
      <c r="E17" s="178"/>
    </row>
    <row r="18" spans="1:5" x14ac:dyDescent="0.2">
      <c r="A18" s="130" t="s">
        <v>76</v>
      </c>
      <c r="B18" s="129" t="s">
        <v>71</v>
      </c>
      <c r="C18" s="131">
        <f>SUM([1]fuelvolume!$C$612:$C$655)</f>
        <v>2761.97</v>
      </c>
      <c r="D18" s="131">
        <f>C18*B5</f>
        <v>9139.3587299999999</v>
      </c>
      <c r="E18" s="178"/>
    </row>
    <row r="19" spans="1:5" x14ac:dyDescent="0.2">
      <c r="A19" s="130" t="s">
        <v>77</v>
      </c>
      <c r="B19" s="129" t="s">
        <v>71</v>
      </c>
      <c r="C19" s="131">
        <f>SUM([1]fuelvolume!$C$320:$C$380)</f>
        <v>2141.6099999999997</v>
      </c>
      <c r="D19" s="131">
        <f>C19*B5</f>
        <v>7086.587489999999</v>
      </c>
      <c r="E19" s="178"/>
    </row>
    <row r="20" spans="1:5" x14ac:dyDescent="0.2">
      <c r="A20" s="130" t="s">
        <v>78</v>
      </c>
      <c r="B20" s="129" t="s">
        <v>71</v>
      </c>
      <c r="C20" s="131">
        <f>SUM([1]fuelvolume!$C$656:$C$705)</f>
        <v>2124.6399999999994</v>
      </c>
      <c r="D20" s="131">
        <f>C20*B5</f>
        <v>7030.4337599999981</v>
      </c>
      <c r="E20" s="178"/>
    </row>
    <row r="21" spans="1:5" x14ac:dyDescent="0.2">
      <c r="A21" s="130" t="s">
        <v>79</v>
      </c>
      <c r="B21" s="129" t="s">
        <v>71</v>
      </c>
      <c r="C21" s="131">
        <f>SUM([1]fuelvolume!$C$737:$C$757)</f>
        <v>1901.1299999999997</v>
      </c>
      <c r="D21" s="131">
        <f>C21*B5</f>
        <v>6290.8391699999993</v>
      </c>
      <c r="E21" s="178"/>
    </row>
    <row r="22" spans="1:5" x14ac:dyDescent="0.2">
      <c r="A22" s="130" t="s">
        <v>80</v>
      </c>
      <c r="B22" s="129" t="s">
        <v>71</v>
      </c>
      <c r="C22" s="131">
        <f>SUM([1]fuelvolume!$C$390:$C$455)</f>
        <v>1894.0100000000004</v>
      </c>
      <c r="D22" s="131">
        <f>C22*B5</f>
        <v>6267.2790900000018</v>
      </c>
      <c r="E22" s="178"/>
    </row>
    <row r="23" spans="1:5" x14ac:dyDescent="0.2">
      <c r="A23" s="130" t="s">
        <v>81</v>
      </c>
      <c r="B23" s="129" t="s">
        <v>71</v>
      </c>
      <c r="C23" s="131">
        <f>SUM([1]fuelvolume!$C$706:$C$736)</f>
        <v>1327.93</v>
      </c>
      <c r="D23" s="131">
        <f>C23*B5</f>
        <v>4394.1203700000005</v>
      </c>
      <c r="E23" s="178"/>
    </row>
    <row r="24" spans="1:5" x14ac:dyDescent="0.2">
      <c r="A24" s="130" t="s">
        <v>82</v>
      </c>
      <c r="B24" s="129" t="s">
        <v>71</v>
      </c>
      <c r="C24" s="131">
        <f>SUM([1]fuelvolume!$C$602:$C$611)</f>
        <v>529.52</v>
      </c>
      <c r="D24" s="131">
        <f>C24*B5</f>
        <v>1752.1816799999999</v>
      </c>
      <c r="E24" s="178"/>
    </row>
    <row r="25" spans="1:5" x14ac:dyDescent="0.2">
      <c r="A25" s="130" t="s">
        <v>83</v>
      </c>
      <c r="B25" s="129" t="s">
        <v>71</v>
      </c>
      <c r="C25" s="131">
        <f>SUM([1]fuelvolume!$C$381:$C$389)</f>
        <v>371.25000000000006</v>
      </c>
      <c r="D25" s="131">
        <f>C25*B5</f>
        <v>1228.4662500000002</v>
      </c>
      <c r="E25" s="178"/>
    </row>
    <row r="26" spans="1:5" x14ac:dyDescent="0.2">
      <c r="A26" s="130" t="s">
        <v>84</v>
      </c>
      <c r="B26" s="129" t="s">
        <v>71</v>
      </c>
      <c r="C26" s="131">
        <f>SUM([1]fuelvolume!$C$596:$C$601)</f>
        <v>276.54999999999995</v>
      </c>
      <c r="D26" s="131">
        <f>C26*B5</f>
        <v>915.10394999999994</v>
      </c>
      <c r="E26" s="178"/>
    </row>
    <row r="27" spans="1:5" x14ac:dyDescent="0.2">
      <c r="A27" s="130" t="s">
        <v>85</v>
      </c>
      <c r="B27" s="129" t="s">
        <v>71</v>
      </c>
      <c r="C27" s="131">
        <f>[1]fuelvolume!$C$3</f>
        <v>73.78</v>
      </c>
      <c r="D27" s="131">
        <f>C27*B5</f>
        <v>244.13802000000001</v>
      </c>
      <c r="E27" s="178"/>
    </row>
  </sheetData>
  <sortState ref="A14:D27">
    <sortCondition descending="1" ref="C14:C27"/>
  </sortState>
  <pageMargins left="0.7" right="0.7" top="0.75" bottom="0.75" header="0.3" footer="0.3"/>
  <pageSetup paperSize="9" orientation="portrait" r:id="rId1"/>
  <headerFooter>
    <oddHeader>&amp;LVERSIE 16-2-2021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8"/>
  <sheetViews>
    <sheetView view="pageLayout" topLeftCell="A13" zoomScale="110" zoomScaleNormal="120" zoomScalePageLayoutView="110" workbookViewId="0">
      <selection activeCell="B23" sqref="B23"/>
    </sheetView>
  </sheetViews>
  <sheetFormatPr defaultColWidth="8.85546875" defaultRowHeight="12.75" x14ac:dyDescent="0.2"/>
  <cols>
    <col min="1" max="1" width="25.7109375" customWidth="1"/>
    <col min="2" max="2" width="33.85546875" customWidth="1"/>
    <col min="3" max="3" width="11.140625" customWidth="1"/>
  </cols>
  <sheetData>
    <row r="2" spans="1:4" ht="15.75" x14ac:dyDescent="0.25">
      <c r="A2" s="6" t="s">
        <v>22</v>
      </c>
      <c r="B2" s="49" t="s">
        <v>66</v>
      </c>
    </row>
    <row r="3" spans="1:4" x14ac:dyDescent="0.2">
      <c r="A3" s="1"/>
      <c r="B3" s="9"/>
    </row>
    <row r="4" spans="1:4" x14ac:dyDescent="0.2">
      <c r="A4" s="10" t="s">
        <v>8</v>
      </c>
      <c r="B4" s="11">
        <v>2.8839999999999999</v>
      </c>
    </row>
    <row r="6" spans="1:4" x14ac:dyDescent="0.2">
      <c r="A6" s="306"/>
      <c r="B6" s="136" t="s">
        <v>9</v>
      </c>
      <c r="C6" s="315" t="s">
        <v>10</v>
      </c>
    </row>
    <row r="7" spans="1:4" x14ac:dyDescent="0.2">
      <c r="A7" s="46" t="s">
        <v>86</v>
      </c>
      <c r="B7" s="132">
        <f>SUM(C14:C20)</f>
        <v>10075.57</v>
      </c>
      <c r="C7" s="137">
        <f>B7*B4</f>
        <v>29057.943879999999</v>
      </c>
    </row>
    <row r="8" spans="1:4" x14ac:dyDescent="0.2">
      <c r="A8" s="46" t="s">
        <v>87</v>
      </c>
      <c r="B8" s="132">
        <f>C23</f>
        <v>396.4</v>
      </c>
      <c r="C8" s="137">
        <f>B8*B4</f>
        <v>1143.2175999999999</v>
      </c>
    </row>
    <row r="9" spans="1:4" x14ac:dyDescent="0.2">
      <c r="A9" s="46"/>
      <c r="B9" s="104"/>
      <c r="C9" s="133"/>
    </row>
    <row r="10" spans="1:4" x14ac:dyDescent="0.2">
      <c r="A10" s="47" t="s">
        <v>12</v>
      </c>
      <c r="B10" s="134">
        <f>B7+ B8</f>
        <v>10471.969999999999</v>
      </c>
      <c r="C10" s="135">
        <f>C7+C8</f>
        <v>30201.161479999999</v>
      </c>
    </row>
    <row r="12" spans="1:4" x14ac:dyDescent="0.2">
      <c r="A12" s="29" t="s">
        <v>88</v>
      </c>
    </row>
    <row r="13" spans="1:4" ht="15" x14ac:dyDescent="0.25">
      <c r="A13" s="347" t="s">
        <v>89</v>
      </c>
      <c r="B13" s="32" t="s">
        <v>24</v>
      </c>
      <c r="C13" s="147" t="s">
        <v>9</v>
      </c>
      <c r="D13" s="176" t="s">
        <v>69</v>
      </c>
    </row>
    <row r="14" spans="1:4" x14ac:dyDescent="0.2">
      <c r="A14" s="129" t="s">
        <v>90</v>
      </c>
      <c r="B14" s="129" t="s">
        <v>71</v>
      </c>
      <c r="C14" s="138">
        <f>SUM([1]fuelvolume!$C$758:$C$832)</f>
        <v>3811.67</v>
      </c>
      <c r="D14" s="178"/>
    </row>
    <row r="15" spans="1:4" x14ac:dyDescent="0.2">
      <c r="A15" s="129" t="s">
        <v>91</v>
      </c>
      <c r="B15" s="129" t="s">
        <v>71</v>
      </c>
      <c r="C15" s="138">
        <v>1294.22</v>
      </c>
      <c r="D15" s="178"/>
    </row>
    <row r="16" spans="1:4" x14ac:dyDescent="0.2">
      <c r="A16" s="129" t="s">
        <v>92</v>
      </c>
      <c r="B16" s="129" t="s">
        <v>71</v>
      </c>
      <c r="C16" s="138">
        <f>SUM([1]fuelvolume!$C$833:$C$876)</f>
        <v>1249.7500000000002</v>
      </c>
      <c r="D16" s="178"/>
    </row>
    <row r="17" spans="1:5" x14ac:dyDescent="0.2">
      <c r="A17" s="129" t="s">
        <v>93</v>
      </c>
      <c r="B17" s="129" t="s">
        <v>71</v>
      </c>
      <c r="C17" s="138">
        <v>1148.6600000000001</v>
      </c>
      <c r="D17" s="178"/>
    </row>
    <row r="18" spans="1:5" x14ac:dyDescent="0.2">
      <c r="A18" s="129" t="s">
        <v>94</v>
      </c>
      <c r="B18" s="129" t="s">
        <v>71</v>
      </c>
      <c r="C18" s="138">
        <v>993.66</v>
      </c>
      <c r="D18" s="178"/>
    </row>
    <row r="19" spans="1:5" x14ac:dyDescent="0.2">
      <c r="A19" s="129" t="s">
        <v>95</v>
      </c>
      <c r="B19" s="129" t="s">
        <v>71</v>
      </c>
      <c r="C19" s="138">
        <f>SUM([1]fuelvolume!$C$291:$C$319)</f>
        <v>895.4699999999998</v>
      </c>
      <c r="D19" s="178"/>
    </row>
    <row r="20" spans="1:5" x14ac:dyDescent="0.2">
      <c r="A20" s="129" t="s">
        <v>96</v>
      </c>
      <c r="B20" s="129" t="s">
        <v>71</v>
      </c>
      <c r="C20" s="138">
        <v>682.14</v>
      </c>
      <c r="D20" s="178"/>
    </row>
    <row r="21" spans="1:5" x14ac:dyDescent="0.2">
      <c r="D21" s="178"/>
      <c r="E21" t="s">
        <v>97</v>
      </c>
    </row>
    <row r="22" spans="1:5" ht="25.5" x14ac:dyDescent="0.2">
      <c r="A22" s="148" t="s">
        <v>98</v>
      </c>
      <c r="C22" s="16"/>
      <c r="D22" s="177"/>
    </row>
    <row r="23" spans="1:5" x14ac:dyDescent="0.2">
      <c r="A23" s="129" t="s">
        <v>99</v>
      </c>
      <c r="B23" s="129" t="s">
        <v>100</v>
      </c>
      <c r="C23" s="348">
        <v>396.4</v>
      </c>
      <c r="D23" s="177"/>
    </row>
    <row r="24" spans="1:5" x14ac:dyDescent="0.2">
      <c r="C24" s="16"/>
      <c r="D24" s="177"/>
    </row>
    <row r="25" spans="1:5" x14ac:dyDescent="0.2">
      <c r="C25" s="16"/>
      <c r="D25" s="177"/>
    </row>
    <row r="26" spans="1:5" x14ac:dyDescent="0.2">
      <c r="C26" s="16"/>
      <c r="D26" s="177"/>
    </row>
    <row r="27" spans="1:5" x14ac:dyDescent="0.2">
      <c r="C27" s="16"/>
      <c r="D27" s="177"/>
    </row>
    <row r="28" spans="1:5" x14ac:dyDescent="0.2">
      <c r="C28" s="16"/>
      <c r="D28" s="177"/>
    </row>
  </sheetData>
  <sortState ref="A14:C20">
    <sortCondition descending="1" ref="C14:C20"/>
  </sortState>
  <pageMargins left="0.7" right="0.7" top="0.75" bottom="0.75" header="0.3" footer="0.3"/>
  <pageSetup paperSize="9" orientation="portrait" r:id="rId1"/>
  <headerFooter>
    <oddHeader>&amp;LVERSIE 16-2-2021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view="pageLayout" topLeftCell="A19" zoomScaleNormal="100" workbookViewId="0">
      <selection activeCell="B6" sqref="B6"/>
    </sheetView>
  </sheetViews>
  <sheetFormatPr defaultColWidth="8.85546875" defaultRowHeight="12.75" x14ac:dyDescent="0.2"/>
  <cols>
    <col min="1" max="1" width="26.7109375" bestFit="1" customWidth="1"/>
    <col min="2" max="2" width="10.42578125" customWidth="1"/>
    <col min="3" max="3" width="8.140625" bestFit="1" customWidth="1"/>
  </cols>
  <sheetData>
    <row r="1" spans="1:3" ht="15.75" x14ac:dyDescent="0.25">
      <c r="A1" s="6" t="s">
        <v>101</v>
      </c>
      <c r="B1" t="s">
        <v>102</v>
      </c>
    </row>
    <row r="2" spans="1:3" x14ac:dyDescent="0.2">
      <c r="A2" s="1"/>
      <c r="B2" s="9"/>
    </row>
    <row r="3" spans="1:3" x14ac:dyDescent="0.2">
      <c r="A3" s="10" t="s">
        <v>8</v>
      </c>
      <c r="B3">
        <v>35.97</v>
      </c>
    </row>
    <row r="4" spans="1:3" ht="15.75" x14ac:dyDescent="0.25">
      <c r="A4" s="6"/>
    </row>
    <row r="5" spans="1:3" x14ac:dyDescent="0.2">
      <c r="A5" s="306"/>
      <c r="B5" s="136" t="s">
        <v>103</v>
      </c>
      <c r="C5" s="315" t="s">
        <v>10</v>
      </c>
    </row>
    <row r="6" spans="1:3" x14ac:dyDescent="0.2">
      <c r="A6" s="46" t="s">
        <v>104</v>
      </c>
      <c r="B6" s="104">
        <v>66.212000000000003</v>
      </c>
      <c r="C6" s="137">
        <f>B6*B3</f>
        <v>2381.6456400000002</v>
      </c>
    </row>
    <row r="7" spans="1:3" x14ac:dyDescent="0.2">
      <c r="A7" s="46"/>
      <c r="B7" s="104"/>
      <c r="C7" s="133"/>
    </row>
    <row r="8" spans="1:3" x14ac:dyDescent="0.2">
      <c r="A8" s="47" t="s">
        <v>12</v>
      </c>
      <c r="B8" s="134">
        <f>B6</f>
        <v>66.212000000000003</v>
      </c>
      <c r="C8" s="135">
        <f>C6</f>
        <v>2381.6456400000002</v>
      </c>
    </row>
  </sheetData>
  <pageMargins left="0.7" right="0.7" top="0.75" bottom="0.75" header="0.3" footer="0.3"/>
  <pageSetup paperSize="9" orientation="portrait" r:id="rId1"/>
  <headerFooter>
    <oddHeader>&amp;LLaatst bijgewerkt op 8 december 2020</oddHead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view="pageLayout" topLeftCell="A17" zoomScaleNormal="100" workbookViewId="0">
      <selection activeCell="A43" sqref="A43"/>
    </sheetView>
  </sheetViews>
  <sheetFormatPr defaultColWidth="8.85546875" defaultRowHeight="12.75" x14ac:dyDescent="0.2"/>
  <cols>
    <col min="1" max="1" width="20" customWidth="1"/>
    <col min="2" max="2" width="20.140625" bestFit="1" customWidth="1"/>
    <col min="3" max="3" width="19" customWidth="1"/>
    <col min="4" max="4" width="15" customWidth="1"/>
    <col min="5" max="5" width="13.85546875" bestFit="1" customWidth="1"/>
  </cols>
  <sheetData>
    <row r="1" spans="1:8" s="63" customFormat="1" ht="25.5" x14ac:dyDescent="0.2">
      <c r="A1" s="166" t="s">
        <v>105</v>
      </c>
      <c r="B1" s="167" t="s">
        <v>30</v>
      </c>
      <c r="C1" s="168"/>
      <c r="D1" s="169" t="s">
        <v>8</v>
      </c>
      <c r="E1" s="170" t="s">
        <v>15</v>
      </c>
    </row>
    <row r="2" spans="1:8" x14ac:dyDescent="0.2">
      <c r="A2" s="142" t="s">
        <v>106</v>
      </c>
      <c r="B2" s="143">
        <f>E25</f>
        <v>10609.587000000001</v>
      </c>
      <c r="C2" s="154" t="s">
        <v>32</v>
      </c>
      <c r="D2" s="151">
        <v>0</v>
      </c>
      <c r="E2" s="152">
        <f t="shared" ref="E2" si="0">B2*D2</f>
        <v>0</v>
      </c>
    </row>
    <row r="3" spans="1:8" s="63" customFormat="1" ht="25.5" x14ac:dyDescent="0.2">
      <c r="A3" s="149" t="s">
        <v>107</v>
      </c>
      <c r="B3" s="150">
        <v>4705.76</v>
      </c>
      <c r="C3" s="155" t="s">
        <v>32</v>
      </c>
      <c r="D3" s="321">
        <v>0.55600000000000005</v>
      </c>
      <c r="E3" s="156">
        <f>B3*D3</f>
        <v>2616.4025600000004</v>
      </c>
    </row>
    <row r="4" spans="1:8" x14ac:dyDescent="0.2">
      <c r="A4" s="113"/>
      <c r="B4" s="114"/>
      <c r="C4" s="154"/>
      <c r="D4" s="151"/>
      <c r="E4" s="153"/>
    </row>
    <row r="5" spans="1:8" s="164" customFormat="1" ht="25.5" x14ac:dyDescent="0.2">
      <c r="A5" s="165" t="s">
        <v>108</v>
      </c>
      <c r="B5" s="162">
        <f>SUM(B2:B3)</f>
        <v>15315.347000000002</v>
      </c>
      <c r="C5" s="162" t="s">
        <v>32</v>
      </c>
      <c r="D5" s="162"/>
      <c r="E5" s="163">
        <f>SUM(E2:E3)</f>
        <v>2616.4025600000004</v>
      </c>
    </row>
    <row r="6" spans="1:8" x14ac:dyDescent="0.2">
      <c r="A6" s="108"/>
      <c r="B6" s="114"/>
      <c r="C6" s="115"/>
      <c r="D6" s="108"/>
      <c r="E6" s="114"/>
    </row>
    <row r="7" spans="1:8" x14ac:dyDescent="0.2">
      <c r="A7" s="108"/>
      <c r="B7" s="114"/>
      <c r="C7" s="115"/>
      <c r="D7" s="108"/>
      <c r="E7" s="114"/>
    </row>
    <row r="8" spans="1:8" ht="51" x14ac:dyDescent="0.2">
      <c r="A8" s="139" t="s">
        <v>109</v>
      </c>
      <c r="B8" s="140" t="s">
        <v>110</v>
      </c>
      <c r="C8" s="110"/>
    </row>
    <row r="9" spans="1:8" x14ac:dyDescent="0.2">
      <c r="A9" s="2" t="s">
        <v>33</v>
      </c>
      <c r="B9" s="106">
        <v>2019</v>
      </c>
    </row>
    <row r="10" spans="1:8" ht="25.5" x14ac:dyDescent="0.2">
      <c r="A10" s="103" t="s">
        <v>34</v>
      </c>
      <c r="B10" s="103" t="s">
        <v>35</v>
      </c>
      <c r="C10" s="141" t="s">
        <v>36</v>
      </c>
      <c r="D10" s="103" t="s">
        <v>37</v>
      </c>
      <c r="E10" s="103"/>
      <c r="F10" s="103"/>
      <c r="H10" s="107"/>
    </row>
    <row r="11" spans="1:8" x14ac:dyDescent="0.2">
      <c r="A11" s="101">
        <v>43466</v>
      </c>
      <c r="B11" s="104">
        <v>746.899</v>
      </c>
      <c r="C11" s="104">
        <v>-134.07300000000001</v>
      </c>
    </row>
    <row r="12" spans="1:8" x14ac:dyDescent="0.2">
      <c r="A12" s="101">
        <v>43497</v>
      </c>
      <c r="B12" s="104">
        <v>545.55700000000002</v>
      </c>
      <c r="C12" s="104">
        <v>-649.14800000000002</v>
      </c>
    </row>
    <row r="13" spans="1:8" x14ac:dyDescent="0.2">
      <c r="A13" s="101">
        <v>43525</v>
      </c>
      <c r="B13" s="104">
        <v>520.90200000000004</v>
      </c>
      <c r="C13" s="104">
        <v>-1062.002</v>
      </c>
    </row>
    <row r="14" spans="1:8" x14ac:dyDescent="0.2">
      <c r="A14" s="101">
        <v>43556</v>
      </c>
      <c r="B14" s="104">
        <v>372.40300000000002</v>
      </c>
      <c r="C14" s="104">
        <v>-2557.239</v>
      </c>
    </row>
    <row r="15" spans="1:8" x14ac:dyDescent="0.2">
      <c r="A15" s="101">
        <v>43586</v>
      </c>
      <c r="B15" s="104">
        <v>306.90600000000001</v>
      </c>
      <c r="C15" s="104">
        <v>-2726.759</v>
      </c>
    </row>
    <row r="16" spans="1:8" x14ac:dyDescent="0.2">
      <c r="A16" s="101">
        <v>43617</v>
      </c>
      <c r="B16" s="104">
        <v>318.76100000000002</v>
      </c>
      <c r="C16" s="104">
        <v>-2954.3939999999998</v>
      </c>
    </row>
    <row r="17" spans="1:5" x14ac:dyDescent="0.2">
      <c r="A17" s="101">
        <v>43647</v>
      </c>
      <c r="B17" s="104">
        <v>333.03100000000001</v>
      </c>
      <c r="C17" s="104">
        <v>-2879.5419999999999</v>
      </c>
    </row>
    <row r="18" spans="1:5" x14ac:dyDescent="0.2">
      <c r="A18" s="101">
        <v>43678</v>
      </c>
      <c r="B18" s="104">
        <v>363.447</v>
      </c>
      <c r="C18" s="104">
        <v>-2470.556</v>
      </c>
    </row>
    <row r="19" spans="1:5" x14ac:dyDescent="0.2">
      <c r="A19" s="101">
        <v>43709</v>
      </c>
      <c r="B19" s="104">
        <v>397.64</v>
      </c>
      <c r="C19" s="104">
        <v>-1555.962</v>
      </c>
    </row>
    <row r="20" spans="1:5" x14ac:dyDescent="0.2">
      <c r="A20" s="101">
        <v>43739</v>
      </c>
      <c r="B20" s="104">
        <v>663.29</v>
      </c>
      <c r="C20" s="104">
        <v>-622.93899999999996</v>
      </c>
    </row>
    <row r="21" spans="1:5" x14ac:dyDescent="0.2">
      <c r="A21" s="101">
        <v>43770</v>
      </c>
      <c r="B21" s="104">
        <v>672.79200000000003</v>
      </c>
      <c r="C21" s="104">
        <v>-251.00800000000001</v>
      </c>
    </row>
    <row r="22" spans="1:5" x14ac:dyDescent="0.2">
      <c r="A22" s="101">
        <v>43800</v>
      </c>
      <c r="B22" s="104">
        <v>660.45399999999995</v>
      </c>
      <c r="C22" s="104">
        <v>-140.09</v>
      </c>
    </row>
    <row r="25" spans="1:5" x14ac:dyDescent="0.2">
      <c r="A25" s="2" t="s">
        <v>61</v>
      </c>
      <c r="B25" s="132">
        <f>SUM(B11:B22)</f>
        <v>5902.0820000000003</v>
      </c>
      <c r="C25" s="132">
        <f>SUM(C11:C22)</f>
        <v>-18003.712</v>
      </c>
      <c r="D25" s="132">
        <v>22711.217000000001</v>
      </c>
      <c r="E25" s="132">
        <f>B25+(C25+D25)</f>
        <v>10609.587000000001</v>
      </c>
    </row>
    <row r="26" spans="1:5" x14ac:dyDescent="0.2">
      <c r="B26" s="105" t="s">
        <v>38</v>
      </c>
      <c r="C26" s="105" t="s">
        <v>39</v>
      </c>
      <c r="D26" s="103" t="s">
        <v>37</v>
      </c>
      <c r="E26" s="102" t="s">
        <v>62</v>
      </c>
    </row>
    <row r="28" spans="1:5" x14ac:dyDescent="0.2">
      <c r="A28" t="s">
        <v>41</v>
      </c>
      <c r="B28" s="2" t="s">
        <v>111</v>
      </c>
    </row>
  </sheetData>
  <pageMargins left="0.7" right="0.7" top="0.75" bottom="0.75" header="0.3" footer="0.3"/>
  <pageSetup paperSize="9" orientation="portrait" r:id="rId1"/>
  <headerFooter>
    <oddHeader>&amp;LLaatst bijgewerkt op 8 december 2020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9"/>
  <sheetViews>
    <sheetView view="pageLayout" topLeftCell="A5" zoomScaleNormal="100" workbookViewId="0">
      <selection activeCell="C7" sqref="C7"/>
    </sheetView>
  </sheetViews>
  <sheetFormatPr defaultColWidth="0" defaultRowHeight="14.25" x14ac:dyDescent="0.2"/>
  <cols>
    <col min="1" max="1" width="23.7109375" style="53" customWidth="1"/>
    <col min="2" max="2" width="17.140625" style="53" customWidth="1"/>
    <col min="3" max="3" width="7.42578125" style="53" customWidth="1"/>
    <col min="4" max="4" width="9" style="53" customWidth="1"/>
    <col min="5" max="5" width="10.7109375" style="53" bestFit="1" customWidth="1"/>
    <col min="6" max="6" width="9.42578125" style="53" customWidth="1"/>
    <col min="7" max="7" width="8.85546875" style="53" bestFit="1" customWidth="1"/>
    <col min="8" max="8" width="2.42578125" style="53" customWidth="1"/>
    <col min="9" max="16384" width="9.140625" style="53" hidden="1"/>
  </cols>
  <sheetData>
    <row r="2" spans="1:7" ht="23.25" x14ac:dyDescent="0.2">
      <c r="A2" s="409">
        <v>2019</v>
      </c>
      <c r="B2" s="409"/>
      <c r="C2" s="409"/>
      <c r="D2" s="409"/>
      <c r="E2" s="409"/>
      <c r="F2" s="409"/>
      <c r="G2" s="409"/>
    </row>
    <row r="3" spans="1:7" x14ac:dyDescent="0.2">
      <c r="A3" s="410" t="s">
        <v>44</v>
      </c>
      <c r="B3" s="404"/>
      <c r="C3" s="404"/>
      <c r="D3" s="404"/>
      <c r="E3" s="404"/>
      <c r="F3" s="404"/>
      <c r="G3" s="404"/>
    </row>
    <row r="4" spans="1:7" x14ac:dyDescent="0.2">
      <c r="A4" s="52" t="s">
        <v>45</v>
      </c>
      <c r="B4" s="52"/>
      <c r="C4" s="52"/>
      <c r="D4" s="52"/>
      <c r="E4" s="52"/>
      <c r="F4" s="52"/>
      <c r="G4" s="52"/>
    </row>
    <row r="5" spans="1:7" x14ac:dyDescent="0.2">
      <c r="A5" s="3" t="s">
        <v>13</v>
      </c>
      <c r="B5" s="24">
        <f>'Dieselolie 2019'!B10</f>
        <v>43956.439999999995</v>
      </c>
      <c r="C5" s="3" t="s">
        <v>46</v>
      </c>
      <c r="D5" s="25"/>
      <c r="E5" s="4">
        <f>'Dieselolie 2019'!C10</f>
        <v>145451.85996</v>
      </c>
      <c r="F5" s="3" t="s">
        <v>10</v>
      </c>
      <c r="G5" s="27">
        <f>E5/$E$16</f>
        <v>0.80515360495708821</v>
      </c>
    </row>
    <row r="6" spans="1:7" x14ac:dyDescent="0.2">
      <c r="A6" s="3" t="s">
        <v>47</v>
      </c>
      <c r="B6" s="24">
        <f>'Euro 95 2019'!B7</f>
        <v>10075.57</v>
      </c>
      <c r="C6" s="3" t="s">
        <v>46</v>
      </c>
      <c r="D6" s="25"/>
      <c r="E6" s="4">
        <f>'Euro 95 2019'!C7</f>
        <v>29057.943879999999</v>
      </c>
      <c r="F6" s="3" t="s">
        <v>10</v>
      </c>
      <c r="G6" s="27">
        <f>E6/$E$16</f>
        <v>0.16085121409968087</v>
      </c>
    </row>
    <row r="7" spans="1:7" x14ac:dyDescent="0.2">
      <c r="A7" s="3" t="s">
        <v>112</v>
      </c>
      <c r="B7" s="24">
        <f>'Euro 95 2019'!B8</f>
        <v>396.4</v>
      </c>
      <c r="C7" s="3" t="s">
        <v>46</v>
      </c>
      <c r="D7" s="25"/>
      <c r="E7" s="4">
        <f>'Euro 95 2019'!C8</f>
        <v>1143.2175999999999</v>
      </c>
      <c r="F7" s="3" t="s">
        <v>10</v>
      </c>
      <c r="G7" s="27">
        <f>E7/E16</f>
        <v>6.3283190200766302E-3</v>
      </c>
    </row>
    <row r="8" spans="1:7" x14ac:dyDescent="0.2">
      <c r="A8" s="3"/>
      <c r="B8" s="24"/>
      <c r="C8" s="3"/>
      <c r="D8" s="25"/>
      <c r="E8" s="4"/>
      <c r="F8" s="3"/>
      <c r="G8" s="27"/>
    </row>
    <row r="9" spans="1:7" x14ac:dyDescent="0.2">
      <c r="A9" s="408" t="s">
        <v>48</v>
      </c>
      <c r="B9" s="408"/>
      <c r="C9" s="408"/>
      <c r="D9" s="408"/>
      <c r="E9" s="22">
        <f>SUM(E5+E6+E7)</f>
        <v>175653.02144000001</v>
      </c>
      <c r="F9" s="7" t="s">
        <v>10</v>
      </c>
      <c r="G9" s="28">
        <f>E9/$E$16</f>
        <v>0.97233313807684585</v>
      </c>
    </row>
    <row r="10" spans="1:7" x14ac:dyDescent="0.2">
      <c r="A10" s="52" t="s">
        <v>49</v>
      </c>
      <c r="B10" s="52"/>
      <c r="C10" s="52"/>
      <c r="D10" s="52"/>
      <c r="E10" s="52"/>
      <c r="F10" s="52"/>
      <c r="G10" s="52"/>
    </row>
    <row r="11" spans="1:7" ht="14.25" customHeight="1" x14ac:dyDescent="0.2">
      <c r="A11" s="3" t="str">
        <f>'Elektra 2019'!A2</f>
        <v>1. Zonnenergie</v>
      </c>
      <c r="B11" s="4">
        <f>'Elektra 2019'!B2</f>
        <v>10609.587000000001</v>
      </c>
      <c r="C11" s="3" t="s">
        <v>32</v>
      </c>
      <c r="D11" s="108"/>
      <c r="E11" s="4">
        <f>'Elektra 2019'!E2</f>
        <v>0</v>
      </c>
      <c r="F11" s="3" t="s">
        <v>10</v>
      </c>
      <c r="G11" s="27">
        <f>E11/E16</f>
        <v>0</v>
      </c>
    </row>
    <row r="12" spans="1:7" ht="25.5" x14ac:dyDescent="0.2">
      <c r="A12" s="157" t="str">
        <f>'Elektra 2019'!A3</f>
        <v xml:space="preserve">2. Opladen elektrische auto SK-37-1X </v>
      </c>
      <c r="B12" s="4">
        <f>'Elektra 2019'!B3</f>
        <v>4705.76</v>
      </c>
      <c r="C12" s="3" t="s">
        <v>32</v>
      </c>
      <c r="D12" s="108"/>
      <c r="E12" s="4">
        <f>'Elektra 2019'!E3</f>
        <v>2616.4025600000004</v>
      </c>
      <c r="F12" s="3" t="s">
        <v>10</v>
      </c>
      <c r="G12" s="27">
        <f>E12/E16</f>
        <v>1.4483183328025383E-2</v>
      </c>
    </row>
    <row r="13" spans="1:7" x14ac:dyDescent="0.2">
      <c r="A13" s="157" t="str">
        <f>'Stadswarmte 2019'!A6</f>
        <v>Stadswarmte</v>
      </c>
      <c r="B13" s="4">
        <f>'Stadswarmte 2019'!B6</f>
        <v>66.212000000000003</v>
      </c>
      <c r="C13" s="3" t="str">
        <f>'Stadswarmte 2019'!B5</f>
        <v>GJ</v>
      </c>
      <c r="D13" s="108"/>
      <c r="E13" s="4">
        <f>'Stadswarmte 2019'!C6</f>
        <v>2381.6456400000002</v>
      </c>
      <c r="F13" s="3" t="s">
        <v>10</v>
      </c>
      <c r="G13" s="27">
        <f>E13/E16</f>
        <v>1.3183678595128855E-2</v>
      </c>
    </row>
    <row r="14" spans="1:7" x14ac:dyDescent="0.2">
      <c r="A14" s="408" t="s">
        <v>48</v>
      </c>
      <c r="B14" s="408"/>
      <c r="C14" s="408"/>
      <c r="D14" s="408"/>
      <c r="E14" s="22">
        <f>SUM(E11:E13)</f>
        <v>4998.0482000000011</v>
      </c>
      <c r="F14" s="7" t="s">
        <v>10</v>
      </c>
      <c r="G14" s="28">
        <f>E14/E16</f>
        <v>2.7666861923154241E-2</v>
      </c>
    </row>
    <row r="15" spans="1:7" x14ac:dyDescent="0.2">
      <c r="A15" s="52" t="s">
        <v>12</v>
      </c>
      <c r="B15" s="52"/>
      <c r="C15" s="52"/>
      <c r="D15" s="52"/>
      <c r="E15" s="52"/>
      <c r="F15" s="52"/>
      <c r="G15" s="52"/>
    </row>
    <row r="16" spans="1:7" x14ac:dyDescent="0.2">
      <c r="A16" s="26"/>
      <c r="B16" s="26"/>
      <c r="C16" s="26"/>
      <c r="D16" s="23" t="s">
        <v>51</v>
      </c>
      <c r="E16" s="22">
        <f>E14+E9</f>
        <v>180651.06964</v>
      </c>
      <c r="F16" s="7" t="s">
        <v>10</v>
      </c>
      <c r="G16" s="100">
        <f>G9+G14</f>
        <v>1</v>
      </c>
    </row>
    <row r="18" spans="1:7" x14ac:dyDescent="0.2">
      <c r="B18" s="4"/>
    </row>
    <row r="20" spans="1:7" x14ac:dyDescent="0.2">
      <c r="A20" s="54" t="s">
        <v>113</v>
      </c>
      <c r="B20" s="55" t="s">
        <v>114</v>
      </c>
      <c r="C20" s="26"/>
      <c r="D20" s="26"/>
      <c r="E20" s="26"/>
      <c r="F20" s="26"/>
      <c r="G20" s="26"/>
    </row>
    <row r="21" spans="1:7" x14ac:dyDescent="0.2">
      <c r="A21" s="56" t="s">
        <v>115</v>
      </c>
      <c r="B21" s="57">
        <v>44173</v>
      </c>
      <c r="C21" s="26"/>
      <c r="D21" s="26"/>
      <c r="E21" s="26"/>
      <c r="F21" s="26"/>
      <c r="G21" s="26"/>
    </row>
    <row r="22" spans="1:7" x14ac:dyDescent="0.2">
      <c r="A22" s="56" t="s">
        <v>116</v>
      </c>
      <c r="B22" s="58" t="s">
        <v>117</v>
      </c>
      <c r="C22" s="26"/>
      <c r="D22" s="26"/>
      <c r="E22" s="26"/>
      <c r="F22" s="26"/>
      <c r="G22" s="26"/>
    </row>
    <row r="23" spans="1:7" x14ac:dyDescent="0.2">
      <c r="A23" s="59" t="s">
        <v>53</v>
      </c>
      <c r="B23" s="60">
        <v>44243</v>
      </c>
      <c r="C23" s="26"/>
      <c r="D23" s="26"/>
      <c r="E23" s="26"/>
      <c r="F23" s="26"/>
      <c r="G23" s="26"/>
    </row>
    <row r="24" spans="1:7" x14ac:dyDescent="0.2">
      <c r="A24" s="26"/>
      <c r="B24" s="26"/>
      <c r="C24" s="26"/>
      <c r="D24" s="26"/>
      <c r="E24" s="26"/>
      <c r="F24" s="26"/>
      <c r="G24" s="26"/>
    </row>
    <row r="25" spans="1:7" ht="63.75" customHeight="1" x14ac:dyDescent="0.2">
      <c r="A25" s="409">
        <v>2019</v>
      </c>
      <c r="B25" s="409"/>
      <c r="C25" s="409"/>
      <c r="D25" s="409"/>
      <c r="E25" s="409"/>
      <c r="F25" s="409"/>
      <c r="G25" s="409"/>
    </row>
    <row r="26" spans="1:7" x14ac:dyDescent="0.2">
      <c r="A26" s="410" t="s">
        <v>118</v>
      </c>
      <c r="B26" s="404"/>
      <c r="C26" s="404"/>
      <c r="D26" s="404"/>
      <c r="E26" s="404"/>
      <c r="F26" s="404"/>
      <c r="G26" s="404"/>
    </row>
    <row r="27" spans="1:7" x14ac:dyDescent="0.2">
      <c r="A27" s="52" t="s">
        <v>119</v>
      </c>
      <c r="B27" s="52"/>
      <c r="C27" s="52"/>
      <c r="D27" s="52"/>
      <c r="E27" s="52"/>
      <c r="F27" s="52"/>
      <c r="G27" s="52"/>
    </row>
    <row r="28" spans="1:7" x14ac:dyDescent="0.2">
      <c r="A28" s="3" t="s">
        <v>13</v>
      </c>
      <c r="B28" s="24">
        <f>B5</f>
        <v>43956.439999999995</v>
      </c>
      <c r="C28" s="3" t="s">
        <v>46</v>
      </c>
      <c r="D28" s="25"/>
      <c r="E28" s="4">
        <f>E5</f>
        <v>145451.85996</v>
      </c>
      <c r="F28" s="3" t="s">
        <v>10</v>
      </c>
      <c r="G28" s="27">
        <f>E28/$E$16</f>
        <v>0.80515360495708821</v>
      </c>
    </row>
    <row r="29" spans="1:7" x14ac:dyDescent="0.2">
      <c r="A29" s="3" t="s">
        <v>47</v>
      </c>
      <c r="B29" s="24">
        <f>B6</f>
        <v>10075.57</v>
      </c>
      <c r="C29" s="3" t="s">
        <v>46</v>
      </c>
      <c r="D29" s="25"/>
      <c r="E29" s="4">
        <f>E6</f>
        <v>29057.943879999999</v>
      </c>
      <c r="F29" s="3" t="s">
        <v>10</v>
      </c>
      <c r="G29" s="27">
        <f>E29/$E$16</f>
        <v>0.16085121409968087</v>
      </c>
    </row>
    <row r="30" spans="1:7" x14ac:dyDescent="0.2">
      <c r="A30" s="3" t="s">
        <v>112</v>
      </c>
      <c r="B30" s="24">
        <f>B7</f>
        <v>396.4</v>
      </c>
      <c r="C30" s="3"/>
      <c r="D30" s="25"/>
      <c r="E30" s="4">
        <f>E7</f>
        <v>1143.2175999999999</v>
      </c>
      <c r="F30" s="3" t="s">
        <v>10</v>
      </c>
      <c r="G30" s="27">
        <f>E30/E39</f>
        <v>6.3283190200766302E-3</v>
      </c>
    </row>
    <row r="31" spans="1:7" x14ac:dyDescent="0.2">
      <c r="A31" s="3"/>
      <c r="B31" s="24"/>
      <c r="C31" s="3"/>
      <c r="D31" s="25"/>
      <c r="E31" s="4"/>
      <c r="F31" s="3"/>
      <c r="G31" s="27"/>
    </row>
    <row r="32" spans="1:7" x14ac:dyDescent="0.2">
      <c r="A32" s="408" t="s">
        <v>48</v>
      </c>
      <c r="B32" s="408"/>
      <c r="C32" s="408"/>
      <c r="D32" s="408"/>
      <c r="E32" s="22">
        <f>SUM(E28+E29+E30)</f>
        <v>175653.02144000001</v>
      </c>
      <c r="F32" s="7" t="s">
        <v>10</v>
      </c>
      <c r="G32" s="28">
        <f>E32/$E$16</f>
        <v>0.97233313807684585</v>
      </c>
    </row>
    <row r="33" spans="1:7" x14ac:dyDescent="0.2">
      <c r="A33" s="52" t="s">
        <v>120</v>
      </c>
      <c r="B33" s="52"/>
      <c r="C33" s="52"/>
      <c r="D33" s="52"/>
      <c r="E33" s="52"/>
      <c r="F33" s="52"/>
      <c r="G33" s="52"/>
    </row>
    <row r="34" spans="1:7" x14ac:dyDescent="0.2">
      <c r="A34" s="3" t="str">
        <f t="shared" ref="A34:B36" si="0">A11</f>
        <v>1. Zonnenergie</v>
      </c>
      <c r="B34" s="4">
        <f t="shared" si="0"/>
        <v>10609.587000000001</v>
      </c>
      <c r="C34" s="3" t="s">
        <v>32</v>
      </c>
      <c r="D34" s="108"/>
      <c r="E34" s="4">
        <f>E11</f>
        <v>0</v>
      </c>
      <c r="F34" s="3" t="s">
        <v>10</v>
      </c>
      <c r="G34" s="27">
        <f>E34/E39</f>
        <v>0</v>
      </c>
    </row>
    <row r="35" spans="1:7" ht="25.5" x14ac:dyDescent="0.2">
      <c r="A35" s="157" t="str">
        <f t="shared" si="0"/>
        <v xml:space="preserve">2. Opladen elektrische auto SK-37-1X </v>
      </c>
      <c r="B35" s="4">
        <f t="shared" si="0"/>
        <v>4705.76</v>
      </c>
      <c r="C35" s="3" t="s">
        <v>32</v>
      </c>
      <c r="D35" s="108"/>
      <c r="E35" s="4">
        <f t="shared" ref="E35:E36" si="1">E12</f>
        <v>2616.4025600000004</v>
      </c>
      <c r="F35" s="3" t="s">
        <v>10</v>
      </c>
      <c r="G35" s="27">
        <f>E35/E39</f>
        <v>1.4483183328025383E-2</v>
      </c>
    </row>
    <row r="36" spans="1:7" x14ac:dyDescent="0.2">
      <c r="A36" s="157" t="str">
        <f t="shared" si="0"/>
        <v>Stadswarmte</v>
      </c>
      <c r="B36" s="4">
        <f t="shared" si="0"/>
        <v>66.212000000000003</v>
      </c>
      <c r="C36" s="3" t="str">
        <f>C13</f>
        <v>GJ</v>
      </c>
      <c r="D36" s="108"/>
      <c r="E36" s="4">
        <f t="shared" si="1"/>
        <v>2381.6456400000002</v>
      </c>
      <c r="F36" s="3" t="s">
        <v>10</v>
      </c>
      <c r="G36" s="27">
        <f>E36/E39</f>
        <v>1.3183678595128855E-2</v>
      </c>
    </row>
    <row r="37" spans="1:7" x14ac:dyDescent="0.2">
      <c r="A37" s="408" t="s">
        <v>48</v>
      </c>
      <c r="B37" s="408"/>
      <c r="C37" s="408"/>
      <c r="D37" s="408"/>
      <c r="E37" s="22">
        <f>SUM(E34:E36)</f>
        <v>4998.0482000000011</v>
      </c>
      <c r="F37" s="7" t="s">
        <v>10</v>
      </c>
      <c r="G37" s="28">
        <f>E37/E39</f>
        <v>2.7666861923154241E-2</v>
      </c>
    </row>
    <row r="38" spans="1:7" x14ac:dyDescent="0.2">
      <c r="A38" s="52" t="s">
        <v>12</v>
      </c>
      <c r="B38" s="52"/>
      <c r="C38" s="52"/>
      <c r="D38" s="52"/>
      <c r="E38" s="52"/>
      <c r="F38" s="52"/>
      <c r="G38" s="52"/>
    </row>
    <row r="39" spans="1:7" x14ac:dyDescent="0.2">
      <c r="A39" s="26"/>
      <c r="B39" s="26"/>
      <c r="C39" s="26"/>
      <c r="D39" s="23" t="s">
        <v>51</v>
      </c>
      <c r="E39" s="22">
        <f>E37+E32</f>
        <v>180651.06964</v>
      </c>
      <c r="F39" s="7" t="s">
        <v>10</v>
      </c>
      <c r="G39" s="100">
        <f>G32+G37</f>
        <v>1</v>
      </c>
    </row>
  </sheetData>
  <mergeCells count="8">
    <mergeCell ref="A26:G26"/>
    <mergeCell ref="A25:G25"/>
    <mergeCell ref="A32:D32"/>
    <mergeCell ref="A37:D37"/>
    <mergeCell ref="A2:G2"/>
    <mergeCell ref="A9:D9"/>
    <mergeCell ref="A14:D14"/>
    <mergeCell ref="A3:G3"/>
  </mergeCells>
  <pageMargins left="0.7" right="0.7" top="0.75" bottom="0.75" header="0.3" footer="0.3"/>
  <pageSetup paperSize="9" orientation="portrait" r:id="rId1"/>
  <headerFooter>
    <oddHeader>&amp;LVERSIE 16-2-2021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34"/>
  <sheetViews>
    <sheetView zoomScaleNormal="100" zoomScalePageLayoutView="130" workbookViewId="0">
      <selection activeCell="B20" sqref="B20"/>
    </sheetView>
  </sheetViews>
  <sheetFormatPr defaultColWidth="9.140625" defaultRowHeight="12.75" x14ac:dyDescent="0.2"/>
  <cols>
    <col min="1" max="1" width="27.28515625" style="121" customWidth="1"/>
    <col min="2" max="2" width="29.42578125" style="121" customWidth="1"/>
    <col min="3" max="4" width="9.140625" style="121"/>
    <col min="5" max="5" width="9.7109375" style="121" customWidth="1"/>
    <col min="6" max="6" width="8.140625" style="121" bestFit="1" customWidth="1"/>
    <col min="7" max="7" width="20" style="121" bestFit="1" customWidth="1"/>
    <col min="8" max="16384" width="9.140625" style="121"/>
  </cols>
  <sheetData>
    <row r="3" spans="1:7" ht="15.75" x14ac:dyDescent="0.2">
      <c r="A3" s="119" t="s">
        <v>6</v>
      </c>
      <c r="B3" s="120" t="s">
        <v>121</v>
      </c>
    </row>
    <row r="4" spans="1:7" ht="15.75" x14ac:dyDescent="0.2">
      <c r="A4" s="119"/>
      <c r="B4" s="122"/>
    </row>
    <row r="5" spans="1:7" x14ac:dyDescent="0.2">
      <c r="A5" s="123" t="s">
        <v>8</v>
      </c>
      <c r="B5" s="124">
        <v>3.262</v>
      </c>
    </row>
    <row r="6" spans="1:7" x14ac:dyDescent="0.2">
      <c r="A6" s="122"/>
      <c r="B6" s="122"/>
      <c r="C6" s="125"/>
    </row>
    <row r="7" spans="1:7" x14ac:dyDescent="0.2">
      <c r="A7" s="316"/>
      <c r="B7" s="172" t="s">
        <v>9</v>
      </c>
      <c r="C7" s="317" t="s">
        <v>10</v>
      </c>
    </row>
    <row r="8" spans="1:7" x14ac:dyDescent="0.2">
      <c r="A8" s="318" t="s">
        <v>67</v>
      </c>
      <c r="B8" s="319">
        <f>SUM(C13:C30)</f>
        <v>38363.590000000004</v>
      </c>
      <c r="C8" s="173">
        <f>B8*B5</f>
        <v>125142.03058000001</v>
      </c>
    </row>
    <row r="9" spans="1:7" x14ac:dyDescent="0.2">
      <c r="A9" s="126"/>
      <c r="B9" s="174"/>
      <c r="C9" s="175"/>
    </row>
    <row r="10" spans="1:7" x14ac:dyDescent="0.2">
      <c r="A10" s="127" t="s">
        <v>12</v>
      </c>
      <c r="B10" s="162">
        <f>B8</f>
        <v>38363.590000000004</v>
      </c>
      <c r="C10" s="163">
        <f>C8</f>
        <v>125142.03058000001</v>
      </c>
    </row>
    <row r="12" spans="1:7" ht="15" x14ac:dyDescent="0.2">
      <c r="A12" s="320" t="s">
        <v>68</v>
      </c>
      <c r="B12" s="128" t="s">
        <v>24</v>
      </c>
      <c r="C12" s="176" t="s">
        <v>9</v>
      </c>
      <c r="D12" s="176" t="s">
        <v>15</v>
      </c>
      <c r="E12" s="176" t="s">
        <v>69</v>
      </c>
      <c r="F12" s="185" t="s">
        <v>122</v>
      </c>
      <c r="G12" s="185" t="s">
        <v>123</v>
      </c>
    </row>
    <row r="13" spans="1:7" ht="25.5" x14ac:dyDescent="0.2">
      <c r="A13" s="130" t="s">
        <v>70</v>
      </c>
      <c r="B13" s="129" t="s">
        <v>71</v>
      </c>
      <c r="C13" s="171">
        <v>6714.85</v>
      </c>
      <c r="D13" s="349">
        <f>C13*B5</f>
        <v>21903.840700000001</v>
      </c>
      <c r="E13" s="180">
        <v>22985</v>
      </c>
      <c r="F13" s="180">
        <f>E13/10.5*12</f>
        <v>26268.571428571431</v>
      </c>
      <c r="G13" s="394">
        <f>D13/F13</f>
        <v>0.83384209756362837</v>
      </c>
    </row>
    <row r="14" spans="1:7" ht="25.5" x14ac:dyDescent="0.2">
      <c r="A14" s="130" t="s">
        <v>72</v>
      </c>
      <c r="B14" s="129" t="s">
        <v>71</v>
      </c>
      <c r="C14" s="171">
        <v>9637.1</v>
      </c>
      <c r="D14" s="349">
        <f>C14*B5</f>
        <v>31436.2202</v>
      </c>
      <c r="E14" s="180">
        <v>22721</v>
      </c>
      <c r="F14" s="180">
        <f t="shared" ref="F14:F30" si="0">E14/10.5*12</f>
        <v>25966.857142857145</v>
      </c>
      <c r="G14" s="394">
        <f t="shared" ref="G14:G27" si="1">D14/F14</f>
        <v>1.2106286111966902</v>
      </c>
    </row>
    <row r="15" spans="1:7" ht="25.5" x14ac:dyDescent="0.2">
      <c r="A15" s="130" t="s">
        <v>73</v>
      </c>
      <c r="B15" s="129" t="s">
        <v>71</v>
      </c>
      <c r="C15" s="171">
        <v>6201.56</v>
      </c>
      <c r="D15" s="349">
        <f>C15*B5</f>
        <v>20229.488720000001</v>
      </c>
      <c r="E15" s="180">
        <v>24674</v>
      </c>
      <c r="F15" s="180">
        <f t="shared" si="0"/>
        <v>28198.857142857145</v>
      </c>
      <c r="G15" s="394">
        <f t="shared" si="1"/>
        <v>0.71738682945610766</v>
      </c>
    </row>
    <row r="16" spans="1:7" ht="25.5" x14ac:dyDescent="0.2">
      <c r="A16" s="130" t="s">
        <v>74</v>
      </c>
      <c r="B16" s="129" t="s">
        <v>71</v>
      </c>
      <c r="C16" s="131">
        <v>1849.56</v>
      </c>
      <c r="D16" s="350">
        <f>C16*B5</f>
        <v>6033.2647200000001</v>
      </c>
      <c r="E16" s="180">
        <v>8175</v>
      </c>
      <c r="F16" s="180">
        <f t="shared" si="0"/>
        <v>9342.8571428571431</v>
      </c>
      <c r="G16" s="394">
        <f t="shared" si="1"/>
        <v>0.64576227889908255</v>
      </c>
    </row>
    <row r="17" spans="1:10" ht="25.5" x14ac:dyDescent="0.2">
      <c r="A17" s="130" t="s">
        <v>75</v>
      </c>
      <c r="B17" s="129" t="s">
        <v>71</v>
      </c>
      <c r="C17" s="131">
        <v>2425.64</v>
      </c>
      <c r="D17" s="350">
        <f>C17*B5</f>
        <v>7912.43768</v>
      </c>
      <c r="E17" s="180">
        <v>28560</v>
      </c>
      <c r="F17" s="180">
        <f t="shared" si="0"/>
        <v>32640</v>
      </c>
      <c r="G17" s="394">
        <f t="shared" si="1"/>
        <v>0.24241537009803921</v>
      </c>
    </row>
    <row r="18" spans="1:10" ht="25.5" x14ac:dyDescent="0.2">
      <c r="A18" s="130" t="s">
        <v>76</v>
      </c>
      <c r="B18" s="129" t="s">
        <v>71</v>
      </c>
      <c r="C18" s="131">
        <v>1313.47</v>
      </c>
      <c r="D18" s="350">
        <f>C18*B5</f>
        <v>4284.5391399999999</v>
      </c>
      <c r="E18" s="180">
        <v>12467</v>
      </c>
      <c r="F18" s="180">
        <f t="shared" si="0"/>
        <v>14248</v>
      </c>
      <c r="G18" s="394">
        <f t="shared" si="1"/>
        <v>0.30071161847276812</v>
      </c>
    </row>
    <row r="19" spans="1:10" ht="25.5" x14ac:dyDescent="0.2">
      <c r="A19" s="130" t="s">
        <v>77</v>
      </c>
      <c r="B19" s="129" t="s">
        <v>71</v>
      </c>
      <c r="C19" s="131">
        <v>1704.6</v>
      </c>
      <c r="D19" s="350">
        <f>C19*B5</f>
        <v>5560.4052000000001</v>
      </c>
      <c r="E19" s="180">
        <v>24130</v>
      </c>
      <c r="F19" s="180">
        <f t="shared" si="0"/>
        <v>27577.142857142855</v>
      </c>
      <c r="G19" s="394">
        <f t="shared" si="1"/>
        <v>0.20163093866556156</v>
      </c>
    </row>
    <row r="20" spans="1:10" ht="25.5" x14ac:dyDescent="0.2">
      <c r="A20" s="130" t="s">
        <v>78</v>
      </c>
      <c r="B20" s="129" t="s">
        <v>71</v>
      </c>
      <c r="C20" s="131">
        <v>1510.58</v>
      </c>
      <c r="D20" s="350">
        <f>C20*B5</f>
        <v>4927.5119599999998</v>
      </c>
      <c r="E20" s="180">
        <v>18320</v>
      </c>
      <c r="F20" s="180">
        <f t="shared" si="0"/>
        <v>20937.142857142859</v>
      </c>
      <c r="G20" s="394">
        <f t="shared" si="1"/>
        <v>0.23534786926855891</v>
      </c>
    </row>
    <row r="21" spans="1:10" ht="25.5" x14ac:dyDescent="0.2">
      <c r="A21" s="130" t="s">
        <v>79</v>
      </c>
      <c r="B21" s="129" t="s">
        <v>71</v>
      </c>
      <c r="C21" s="131">
        <v>1049.08</v>
      </c>
      <c r="D21" s="350">
        <f>C21*B5</f>
        <v>3422.0989599999998</v>
      </c>
      <c r="E21" s="180">
        <v>7154</v>
      </c>
      <c r="F21" s="180">
        <f t="shared" si="0"/>
        <v>8176</v>
      </c>
      <c r="G21" s="394">
        <f t="shared" si="1"/>
        <v>0.41855417808219175</v>
      </c>
    </row>
    <row r="22" spans="1:10" ht="25.5" x14ac:dyDescent="0.2">
      <c r="A22" s="130" t="s">
        <v>80</v>
      </c>
      <c r="B22" s="129" t="s">
        <v>71</v>
      </c>
      <c r="C22" s="131">
        <v>2024.29</v>
      </c>
      <c r="D22" s="350">
        <f>C22*B5</f>
        <v>6603.23398</v>
      </c>
      <c r="E22" s="180">
        <v>28999</v>
      </c>
      <c r="F22" s="180">
        <f t="shared" si="0"/>
        <v>33141.71428571429</v>
      </c>
      <c r="G22" s="394">
        <f t="shared" si="1"/>
        <v>0.19924237844408424</v>
      </c>
    </row>
    <row r="23" spans="1:10" ht="25.5" x14ac:dyDescent="0.2">
      <c r="A23" s="130" t="s">
        <v>81</v>
      </c>
      <c r="B23" s="129" t="s">
        <v>71</v>
      </c>
      <c r="C23" s="131">
        <v>1343.23</v>
      </c>
      <c r="D23" s="350">
        <f>C23*B5</f>
        <v>4381.6162599999998</v>
      </c>
      <c r="E23" s="180">
        <v>18340</v>
      </c>
      <c r="F23" s="180">
        <f t="shared" si="0"/>
        <v>20960</v>
      </c>
      <c r="G23" s="394">
        <f t="shared" si="1"/>
        <v>0.20904657729007634</v>
      </c>
    </row>
    <row r="24" spans="1:10" ht="25.5" x14ac:dyDescent="0.2">
      <c r="A24" s="130" t="s">
        <v>82</v>
      </c>
      <c r="B24" s="129" t="s">
        <v>71</v>
      </c>
      <c r="C24" s="131">
        <v>0</v>
      </c>
      <c r="D24" s="350">
        <f>C24*B5</f>
        <v>0</v>
      </c>
      <c r="E24" s="180">
        <v>0</v>
      </c>
      <c r="F24" s="180">
        <f t="shared" si="0"/>
        <v>0</v>
      </c>
      <c r="G24" s="394"/>
    </row>
    <row r="25" spans="1:10" ht="25.5" x14ac:dyDescent="0.2">
      <c r="A25" s="130" t="s">
        <v>83</v>
      </c>
      <c r="B25" s="129" t="s">
        <v>71</v>
      </c>
      <c r="C25" s="131">
        <v>1097.8499999999999</v>
      </c>
      <c r="D25" s="350">
        <f>C25*B5</f>
        <v>3581.1866999999997</v>
      </c>
      <c r="E25" s="180">
        <v>15108</v>
      </c>
      <c r="F25" s="180">
        <f t="shared" si="0"/>
        <v>17266.285714285714</v>
      </c>
      <c r="G25" s="394">
        <f t="shared" si="1"/>
        <v>0.20740921117950753</v>
      </c>
    </row>
    <row r="26" spans="1:10" ht="25.5" x14ac:dyDescent="0.2">
      <c r="A26" s="130" t="s">
        <v>84</v>
      </c>
      <c r="B26" s="129" t="s">
        <v>71</v>
      </c>
      <c r="C26" s="131"/>
      <c r="D26" s="350">
        <f>C26*B5</f>
        <v>0</v>
      </c>
      <c r="E26" s="180"/>
      <c r="F26" s="180">
        <f t="shared" si="0"/>
        <v>0</v>
      </c>
      <c r="G26" s="394"/>
    </row>
    <row r="27" spans="1:10" ht="25.5" x14ac:dyDescent="0.2">
      <c r="A27" s="130" t="s">
        <v>124</v>
      </c>
      <c r="B27" s="129" t="s">
        <v>71</v>
      </c>
      <c r="C27" s="131">
        <v>1434.84</v>
      </c>
      <c r="D27" s="350">
        <f>C27*$B$5</f>
        <v>4680.4480800000001</v>
      </c>
      <c r="E27" s="180">
        <v>11783</v>
      </c>
      <c r="F27" s="180">
        <f t="shared" si="0"/>
        <v>13466.285714285714</v>
      </c>
      <c r="G27" s="394">
        <f t="shared" si="1"/>
        <v>0.34756785793091743</v>
      </c>
    </row>
    <row r="28" spans="1:10" ht="25.5" x14ac:dyDescent="0.2">
      <c r="A28" s="130" t="s">
        <v>125</v>
      </c>
      <c r="B28" s="129" t="s">
        <v>71</v>
      </c>
      <c r="C28" s="131">
        <v>56.94</v>
      </c>
      <c r="D28" s="350">
        <f>C28*$B$5</f>
        <v>185.73828</v>
      </c>
      <c r="E28" s="180"/>
      <c r="F28" s="180">
        <f t="shared" si="0"/>
        <v>0</v>
      </c>
      <c r="G28" s="130" t="s">
        <v>126</v>
      </c>
    </row>
    <row r="29" spans="1:10" ht="25.5" x14ac:dyDescent="0.2">
      <c r="A29" s="130" t="s">
        <v>85</v>
      </c>
      <c r="B29" s="129" t="s">
        <v>71</v>
      </c>
      <c r="C29" s="131"/>
      <c r="D29" s="350">
        <f>C29*B5</f>
        <v>0</v>
      </c>
      <c r="E29" s="180"/>
      <c r="F29" s="180">
        <f t="shared" si="0"/>
        <v>0</v>
      </c>
      <c r="G29" s="178"/>
    </row>
    <row r="30" spans="1:10" x14ac:dyDescent="0.2">
      <c r="D30" s="177"/>
      <c r="E30" s="181">
        <f>SUM(E13:E29)</f>
        <v>243416</v>
      </c>
      <c r="F30" s="180">
        <f t="shared" si="0"/>
        <v>278189.71428571432</v>
      </c>
      <c r="G30" s="130" t="s">
        <v>127</v>
      </c>
    </row>
    <row r="31" spans="1:10" x14ac:dyDescent="0.2">
      <c r="J31" s="121">
        <v>278189.71000000002</v>
      </c>
    </row>
    <row r="32" spans="1:10" ht="14.25" x14ac:dyDescent="0.2">
      <c r="A32" s="2" t="s">
        <v>97</v>
      </c>
      <c r="B32" s="184">
        <f>F30</f>
        <v>278189.71428571432</v>
      </c>
    </row>
    <row r="33" spans="1:2" x14ac:dyDescent="0.2">
      <c r="A33" s="2" t="s">
        <v>128</v>
      </c>
      <c r="B33" s="183">
        <f>C10/B32</f>
        <v>0.44984420398618002</v>
      </c>
    </row>
    <row r="34" spans="1:2" x14ac:dyDescent="0.2">
      <c r="A34" s="179" t="s">
        <v>129</v>
      </c>
      <c r="B34" s="183">
        <f>C10/B10</f>
        <v>3.262</v>
      </c>
    </row>
  </sheetData>
  <pageMargins left="0.7" right="0.7" top="0.75" bottom="0.75" header="0.3" footer="0.3"/>
  <pageSetup paperSize="9" orientation="portrait" r:id="rId1"/>
  <headerFooter>
    <oddHeader>&amp;LVERSIE 16-2-2021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2"/>
  <sheetViews>
    <sheetView topLeftCell="C11" zoomScale="120" zoomScaleNormal="120" zoomScalePageLayoutView="110" workbookViewId="0">
      <selection activeCell="D27" sqref="D27"/>
    </sheetView>
  </sheetViews>
  <sheetFormatPr defaultColWidth="8.85546875" defaultRowHeight="12.75" x14ac:dyDescent="0.2"/>
  <cols>
    <col min="1" max="1" width="25.7109375" customWidth="1"/>
    <col min="2" max="2" width="33.85546875" customWidth="1"/>
    <col min="3" max="3" width="11.140625" customWidth="1"/>
    <col min="5" max="5" width="10.7109375" bestFit="1" customWidth="1"/>
    <col min="7" max="7" width="13.7109375" bestFit="1" customWidth="1"/>
  </cols>
  <sheetData>
    <row r="2" spans="1:7" ht="15.75" x14ac:dyDescent="0.25">
      <c r="A2" s="6" t="s">
        <v>22</v>
      </c>
      <c r="B2" s="49" t="s">
        <v>121</v>
      </c>
    </row>
    <row r="3" spans="1:7" x14ac:dyDescent="0.2">
      <c r="A3" s="1"/>
      <c r="B3" s="9"/>
    </row>
    <row r="4" spans="1:7" x14ac:dyDescent="0.2">
      <c r="A4" s="10" t="s">
        <v>8</v>
      </c>
      <c r="B4" s="11">
        <v>2.7839999999999998</v>
      </c>
    </row>
    <row r="6" spans="1:7" x14ac:dyDescent="0.2">
      <c r="A6" s="306"/>
      <c r="B6" s="136" t="s">
        <v>9</v>
      </c>
      <c r="C6" s="315" t="s">
        <v>10</v>
      </c>
    </row>
    <row r="7" spans="1:7" x14ac:dyDescent="0.2">
      <c r="A7" s="46" t="s">
        <v>86</v>
      </c>
      <c r="B7" s="132">
        <f>SUM(C14:C22)</f>
        <v>8449.6999999999989</v>
      </c>
      <c r="C7" s="137">
        <f>B7*B4</f>
        <v>23523.964799999994</v>
      </c>
    </row>
    <row r="8" spans="1:7" x14ac:dyDescent="0.2">
      <c r="A8" s="46" t="s">
        <v>87</v>
      </c>
      <c r="B8" s="132"/>
      <c r="C8" s="137">
        <f>E26</f>
        <v>1167.9640000000002</v>
      </c>
    </row>
    <row r="9" spans="1:7" x14ac:dyDescent="0.2">
      <c r="A9" s="46"/>
      <c r="B9" s="104"/>
      <c r="C9" s="133"/>
    </row>
    <row r="10" spans="1:7" x14ac:dyDescent="0.2">
      <c r="A10" s="47" t="s">
        <v>12</v>
      </c>
      <c r="B10" s="134">
        <f>B7+ B8</f>
        <v>8449.6999999999989</v>
      </c>
      <c r="C10" s="135">
        <f>C7+C8</f>
        <v>24691.928799999994</v>
      </c>
    </row>
    <row r="12" spans="1:7" x14ac:dyDescent="0.2">
      <c r="A12" s="29" t="s">
        <v>88</v>
      </c>
    </row>
    <row r="13" spans="1:7" ht="15" x14ac:dyDescent="0.25">
      <c r="A13" s="347" t="s">
        <v>89</v>
      </c>
      <c r="B13" s="32" t="s">
        <v>24</v>
      </c>
      <c r="C13" s="147" t="s">
        <v>9</v>
      </c>
      <c r="D13" s="147" t="s">
        <v>130</v>
      </c>
      <c r="E13" s="176" t="s">
        <v>69</v>
      </c>
      <c r="F13" s="185" t="s">
        <v>131</v>
      </c>
      <c r="G13" s="185" t="s">
        <v>132</v>
      </c>
    </row>
    <row r="14" spans="1:7" x14ac:dyDescent="0.2">
      <c r="A14" s="129" t="s">
        <v>90</v>
      </c>
      <c r="B14" s="129" t="s">
        <v>71</v>
      </c>
      <c r="C14" s="138">
        <v>3380.74</v>
      </c>
      <c r="D14" s="138">
        <f>C14*B4</f>
        <v>9411.9801599999992</v>
      </c>
      <c r="E14" s="180">
        <v>34130</v>
      </c>
      <c r="F14" s="186">
        <f>E14/10.5*12</f>
        <v>39005.714285714283</v>
      </c>
      <c r="G14" s="322">
        <f>D14/F14</f>
        <v>0.24129746967477292</v>
      </c>
    </row>
    <row r="15" spans="1:7" x14ac:dyDescent="0.2">
      <c r="A15" s="129" t="s">
        <v>91</v>
      </c>
      <c r="B15" s="129" t="s">
        <v>71</v>
      </c>
      <c r="C15" s="138">
        <v>1112.82</v>
      </c>
      <c r="D15" s="138">
        <f>C15*B4</f>
        <v>3098.0908799999997</v>
      </c>
      <c r="E15" s="180">
        <v>15995</v>
      </c>
      <c r="F15" s="186">
        <f t="shared" ref="F15:F23" si="0">E15/10.5*12</f>
        <v>18280</v>
      </c>
      <c r="G15" s="322">
        <f t="shared" ref="G15:G22" si="1">D15/F15</f>
        <v>0.16947980743982494</v>
      </c>
    </row>
    <row r="16" spans="1:7" x14ac:dyDescent="0.2">
      <c r="A16" s="129" t="s">
        <v>92</v>
      </c>
      <c r="B16" s="129" t="s">
        <v>71</v>
      </c>
      <c r="C16" s="138">
        <v>1307.7</v>
      </c>
      <c r="D16" s="138">
        <f>C16*B4</f>
        <v>3640.6367999999998</v>
      </c>
      <c r="E16" s="180">
        <v>19555</v>
      </c>
      <c r="F16" s="186">
        <f t="shared" si="0"/>
        <v>22348.571428571428</v>
      </c>
      <c r="G16" s="322">
        <f t="shared" si="1"/>
        <v>0.16290243927384301</v>
      </c>
    </row>
    <row r="17" spans="1:8" x14ac:dyDescent="0.2">
      <c r="A17" s="129" t="s">
        <v>93</v>
      </c>
      <c r="B17" s="129" t="s">
        <v>71</v>
      </c>
      <c r="C17" s="138">
        <v>635.20000000000005</v>
      </c>
      <c r="D17" s="138">
        <f>C17*B4</f>
        <v>1768.3968</v>
      </c>
      <c r="E17" s="180">
        <v>8387</v>
      </c>
      <c r="F17" s="186">
        <f t="shared" si="0"/>
        <v>9585.1428571428587</v>
      </c>
      <c r="G17" s="322">
        <f t="shared" si="1"/>
        <v>0.18449352569452721</v>
      </c>
    </row>
    <row r="18" spans="1:8" x14ac:dyDescent="0.2">
      <c r="A18" s="129" t="s">
        <v>94</v>
      </c>
      <c r="B18" s="129" t="s">
        <v>71</v>
      </c>
      <c r="C18" s="138">
        <v>314.52999999999997</v>
      </c>
      <c r="D18" s="138">
        <f>C18*B4</f>
        <v>875.65151999999989</v>
      </c>
      <c r="E18" s="180">
        <v>2767</v>
      </c>
      <c r="F18" s="186">
        <f t="shared" si="0"/>
        <v>3162.2857142857142</v>
      </c>
      <c r="G18" s="322">
        <f t="shared" si="1"/>
        <v>0.27690461872063604</v>
      </c>
    </row>
    <row r="19" spans="1:8" x14ac:dyDescent="0.2">
      <c r="A19" s="129" t="s">
        <v>95</v>
      </c>
      <c r="B19" s="129" t="s">
        <v>71</v>
      </c>
      <c r="C19" s="138">
        <v>874.26</v>
      </c>
      <c r="D19" s="138">
        <f>C19*B4</f>
        <v>2433.93984</v>
      </c>
      <c r="E19" s="180">
        <v>11311</v>
      </c>
      <c r="F19" s="186">
        <f t="shared" si="0"/>
        <v>12926.857142857141</v>
      </c>
      <c r="G19" s="322">
        <f t="shared" si="1"/>
        <v>0.18828550614446116</v>
      </c>
    </row>
    <row r="20" spans="1:8" x14ac:dyDescent="0.2">
      <c r="A20" s="129" t="s">
        <v>125</v>
      </c>
      <c r="B20" s="129" t="s">
        <v>71</v>
      </c>
      <c r="C20" s="138">
        <v>812.56</v>
      </c>
      <c r="D20" s="138">
        <f>C20*B4</f>
        <v>2262.1670399999998</v>
      </c>
      <c r="E20" s="180">
        <v>10688</v>
      </c>
      <c r="F20" s="186">
        <f t="shared" si="0"/>
        <v>12214.857142857143</v>
      </c>
      <c r="G20" s="322">
        <f t="shared" si="1"/>
        <v>0.18519799401197604</v>
      </c>
    </row>
    <row r="21" spans="1:8" x14ac:dyDescent="0.2">
      <c r="A21" s="129" t="s">
        <v>77</v>
      </c>
      <c r="B21" s="129" t="s">
        <v>71</v>
      </c>
      <c r="C21" s="138">
        <v>11.89</v>
      </c>
      <c r="D21" s="138">
        <f>C21*B4</f>
        <v>33.101759999999999</v>
      </c>
      <c r="E21" s="182"/>
      <c r="F21" s="186">
        <f t="shared" si="0"/>
        <v>0</v>
      </c>
      <c r="G21" s="322"/>
      <c r="H21" s="2" t="s">
        <v>133</v>
      </c>
    </row>
    <row r="22" spans="1:8" x14ac:dyDescent="0.2">
      <c r="A22" s="129" t="s">
        <v>96</v>
      </c>
      <c r="B22" s="129" t="s">
        <v>71</v>
      </c>
      <c r="C22" s="138">
        <v>0</v>
      </c>
      <c r="D22" s="138">
        <f>C22*B4</f>
        <v>0</v>
      </c>
      <c r="E22" s="180">
        <v>9522</v>
      </c>
      <c r="F22" s="186">
        <f t="shared" si="0"/>
        <v>10882.285714285714</v>
      </c>
      <c r="G22" s="322">
        <f t="shared" si="1"/>
        <v>0</v>
      </c>
    </row>
    <row r="23" spans="1:8" x14ac:dyDescent="0.2">
      <c r="D23" s="131">
        <f>SUM(D14:D22)</f>
        <v>23523.964799999998</v>
      </c>
      <c r="E23" s="180">
        <f>SUM(E14:E22)</f>
        <v>112355</v>
      </c>
      <c r="F23" s="186">
        <f t="shared" si="0"/>
        <v>128405.71428571429</v>
      </c>
      <c r="G23" s="322">
        <f>D23/F23</f>
        <v>0.1832002954919674</v>
      </c>
      <c r="H23" t="s">
        <v>97</v>
      </c>
    </row>
    <row r="24" spans="1:8" ht="25.5" x14ac:dyDescent="0.2">
      <c r="A24" s="148" t="s">
        <v>98</v>
      </c>
      <c r="C24" s="16"/>
      <c r="D24" s="177"/>
      <c r="E24" s="177"/>
      <c r="F24" s="177"/>
    </row>
    <row r="25" spans="1:8" ht="38.25" x14ac:dyDescent="0.2">
      <c r="A25" s="364" t="s">
        <v>178</v>
      </c>
      <c r="B25" s="364" t="s">
        <v>24</v>
      </c>
      <c r="C25" s="354" t="s">
        <v>179</v>
      </c>
      <c r="D25" s="361" t="s">
        <v>180</v>
      </c>
      <c r="E25" s="360" t="s">
        <v>130</v>
      </c>
    </row>
    <row r="26" spans="1:8" ht="25.5" x14ac:dyDescent="0.2">
      <c r="A26" s="324" t="s">
        <v>177</v>
      </c>
      <c r="B26" s="129" t="s">
        <v>185</v>
      </c>
      <c r="C26" s="348">
        <v>5782</v>
      </c>
      <c r="D26" s="370">
        <v>0.20200000000000001</v>
      </c>
      <c r="E26" s="371">
        <f>D26*C26</f>
        <v>1167.9640000000002</v>
      </c>
    </row>
    <row r="27" spans="1:8" x14ac:dyDescent="0.2">
      <c r="A27" s="372"/>
      <c r="B27" s="372"/>
      <c r="E27" s="187"/>
    </row>
    <row r="28" spans="1:8" x14ac:dyDescent="0.2">
      <c r="C28" s="16"/>
      <c r="D28" s="177"/>
      <c r="E28" s="177"/>
      <c r="F28" s="177"/>
    </row>
    <row r="29" spans="1:8" ht="14.25" x14ac:dyDescent="0.2">
      <c r="A29" s="2" t="s">
        <v>134</v>
      </c>
      <c r="B29" s="184">
        <f>F23+C26</f>
        <v>134187.71428571429</v>
      </c>
      <c r="C29" s="16"/>
      <c r="D29" s="177"/>
      <c r="E29" s="177"/>
      <c r="F29" s="177"/>
    </row>
    <row r="30" spans="1:8" x14ac:dyDescent="0.2">
      <c r="A30" s="2" t="s">
        <v>128</v>
      </c>
      <c r="B30" s="183">
        <f>C10/B29</f>
        <v>0.1840103539391513</v>
      </c>
      <c r="C30" s="16"/>
      <c r="D30" s="177"/>
      <c r="E30" s="177"/>
      <c r="F30" s="177"/>
    </row>
    <row r="31" spans="1:8" x14ac:dyDescent="0.2">
      <c r="A31" s="179" t="s">
        <v>129</v>
      </c>
      <c r="B31" s="183">
        <f>C10/B10</f>
        <v>2.9222254991301462</v>
      </c>
      <c r="C31" s="16"/>
      <c r="D31" s="177"/>
      <c r="E31" s="177"/>
      <c r="F31" s="177"/>
    </row>
    <row r="32" spans="1:8" x14ac:dyDescent="0.2">
      <c r="C32" s="16"/>
      <c r="D32" s="177"/>
      <c r="E32" s="177"/>
      <c r="F32" s="177"/>
    </row>
  </sheetData>
  <pageMargins left="0.7" right="0.7" top="0.75" bottom="0.75" header="0.3" footer="0.3"/>
  <pageSetup paperSize="9" orientation="portrait" r:id="rId1"/>
  <headerFooter>
    <oddHeader>&amp;LVERSIE 16-2-2021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zoomScaleNormal="100" workbookViewId="0">
      <selection activeCell="H14" sqref="H14"/>
    </sheetView>
  </sheetViews>
  <sheetFormatPr defaultColWidth="8.85546875" defaultRowHeight="12.75" x14ac:dyDescent="0.2"/>
  <cols>
    <col min="1" max="1" width="26.7109375" bestFit="1" customWidth="1"/>
    <col min="2" max="2" width="10.42578125" customWidth="1"/>
    <col min="3" max="3" width="8.140625" bestFit="1" customWidth="1"/>
  </cols>
  <sheetData>
    <row r="1" spans="1:3" ht="15.75" x14ac:dyDescent="0.25">
      <c r="A1" s="6" t="s">
        <v>101</v>
      </c>
      <c r="B1" t="s">
        <v>135</v>
      </c>
    </row>
    <row r="2" spans="1:3" x14ac:dyDescent="0.2">
      <c r="A2" s="1"/>
      <c r="B2" s="9"/>
    </row>
    <row r="3" spans="1:3" x14ac:dyDescent="0.2">
      <c r="A3" s="10" t="s">
        <v>8</v>
      </c>
      <c r="B3">
        <v>26.84</v>
      </c>
    </row>
    <row r="4" spans="1:3" ht="15.75" x14ac:dyDescent="0.25">
      <c r="A4" s="6"/>
    </row>
    <row r="5" spans="1:3" x14ac:dyDescent="0.2">
      <c r="A5" s="306"/>
      <c r="B5" s="136" t="s">
        <v>103</v>
      </c>
      <c r="C5" s="315" t="s">
        <v>10</v>
      </c>
    </row>
    <row r="6" spans="1:3" x14ac:dyDescent="0.2">
      <c r="A6" s="46" t="s">
        <v>104</v>
      </c>
      <c r="B6" s="104">
        <v>57.793999999999997</v>
      </c>
      <c r="C6" s="137">
        <f>B6*B3</f>
        <v>1551.1909599999999</v>
      </c>
    </row>
    <row r="7" spans="1:3" x14ac:dyDescent="0.2">
      <c r="A7" s="46"/>
      <c r="B7" s="104"/>
      <c r="C7" s="133"/>
    </row>
    <row r="8" spans="1:3" x14ac:dyDescent="0.2">
      <c r="A8" s="47" t="s">
        <v>12</v>
      </c>
      <c r="B8" s="134">
        <f>B6</f>
        <v>57.793999999999997</v>
      </c>
      <c r="C8" s="135">
        <f>C6</f>
        <v>1551.1909599999999</v>
      </c>
    </row>
  </sheetData>
  <pageMargins left="0.7" right="0.7" top="0.75" bottom="0.75" header="0.3" footer="0.3"/>
  <pageSetup paperSize="9" orientation="portrait" r:id="rId1"/>
  <headerFooter>
    <oddHeader>&amp;LLaatst bijgewerkt op 22 januari 2021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view="pageLayout" topLeftCell="A4" zoomScaleNormal="100" workbookViewId="0">
      <selection activeCell="J38" sqref="J38"/>
    </sheetView>
  </sheetViews>
  <sheetFormatPr defaultColWidth="8.85546875" defaultRowHeight="12.75" x14ac:dyDescent="0.2"/>
  <cols>
    <col min="1" max="1" width="20" customWidth="1"/>
    <col min="2" max="2" width="20.140625" bestFit="1" customWidth="1"/>
    <col min="3" max="3" width="19" customWidth="1"/>
    <col min="4" max="4" width="15" customWidth="1"/>
    <col min="5" max="5" width="13.85546875" bestFit="1" customWidth="1"/>
  </cols>
  <sheetData>
    <row r="1" spans="1:8" s="63" customFormat="1" ht="25.5" x14ac:dyDescent="0.2">
      <c r="A1" s="166" t="s">
        <v>105</v>
      </c>
      <c r="B1" s="167" t="s">
        <v>30</v>
      </c>
      <c r="C1" s="168"/>
      <c r="D1" s="169" t="s">
        <v>8</v>
      </c>
      <c r="E1" s="170" t="s">
        <v>15</v>
      </c>
    </row>
    <row r="2" spans="1:8" x14ac:dyDescent="0.2">
      <c r="A2" s="142" t="s">
        <v>106</v>
      </c>
      <c r="B2" s="143">
        <f>E25</f>
        <v>10704.864999999996</v>
      </c>
      <c r="C2" s="154" t="s">
        <v>32</v>
      </c>
      <c r="D2" s="151">
        <v>0</v>
      </c>
      <c r="E2" s="152">
        <f t="shared" ref="E2" si="0">B2*D2</f>
        <v>0</v>
      </c>
    </row>
    <row r="3" spans="1:8" s="63" customFormat="1" ht="25.5" x14ac:dyDescent="0.2">
      <c r="A3" s="149" t="s">
        <v>107</v>
      </c>
      <c r="B3" s="150">
        <v>4581.6220000000003</v>
      </c>
      <c r="C3" s="155" t="s">
        <v>32</v>
      </c>
      <c r="D3" s="321">
        <v>0.55600000000000005</v>
      </c>
      <c r="E3" s="156">
        <f>B3*D3</f>
        <v>2547.3818320000005</v>
      </c>
    </row>
    <row r="4" spans="1:8" x14ac:dyDescent="0.2">
      <c r="A4" s="113"/>
      <c r="B4" s="114"/>
      <c r="C4" s="154"/>
      <c r="D4" s="151"/>
      <c r="E4" s="153"/>
    </row>
    <row r="5" spans="1:8" s="164" customFormat="1" ht="25.5" x14ac:dyDescent="0.2">
      <c r="A5" s="165" t="s">
        <v>108</v>
      </c>
      <c r="B5" s="162">
        <f>SUM(B2:B3)</f>
        <v>15286.486999999997</v>
      </c>
      <c r="C5" s="162" t="s">
        <v>32</v>
      </c>
      <c r="D5" s="162"/>
      <c r="E5" s="163">
        <f>SUM(E2:E3)</f>
        <v>2547.3818320000005</v>
      </c>
    </row>
    <row r="6" spans="1:8" x14ac:dyDescent="0.2">
      <c r="A6" s="108"/>
      <c r="B6" s="114"/>
      <c r="C6" s="115"/>
      <c r="D6" s="108"/>
      <c r="E6" s="114"/>
    </row>
    <row r="7" spans="1:8" x14ac:dyDescent="0.2">
      <c r="A7" s="108"/>
      <c r="B7" s="114"/>
      <c r="C7" s="115"/>
      <c r="D7" s="108"/>
      <c r="E7" s="114"/>
    </row>
    <row r="8" spans="1:8" ht="51" x14ac:dyDescent="0.2">
      <c r="A8" s="139" t="s">
        <v>109</v>
      </c>
      <c r="B8" s="140" t="s">
        <v>110</v>
      </c>
      <c r="C8" s="110"/>
    </row>
    <row r="9" spans="1:8" x14ac:dyDescent="0.2">
      <c r="A9" s="2" t="s">
        <v>33</v>
      </c>
      <c r="B9" s="107">
        <v>2020</v>
      </c>
    </row>
    <row r="10" spans="1:8" ht="25.5" x14ac:dyDescent="0.2">
      <c r="A10" s="103" t="s">
        <v>34</v>
      </c>
      <c r="B10" s="103" t="s">
        <v>35</v>
      </c>
      <c r="C10" s="141" t="s">
        <v>36</v>
      </c>
      <c r="D10" s="103" t="s">
        <v>37</v>
      </c>
      <c r="E10" s="103"/>
      <c r="F10" s="103"/>
      <c r="H10" s="107"/>
    </row>
    <row r="11" spans="1:8" x14ac:dyDescent="0.2">
      <c r="A11" s="101">
        <v>43831</v>
      </c>
      <c r="B11">
        <v>1040.6849999999999</v>
      </c>
      <c r="C11">
        <v>-68.016999999999996</v>
      </c>
    </row>
    <row r="12" spans="1:8" x14ac:dyDescent="0.2">
      <c r="A12" s="101">
        <v>43862</v>
      </c>
      <c r="B12">
        <v>597.09899999999993</v>
      </c>
      <c r="C12">
        <v>-368.26</v>
      </c>
    </row>
    <row r="13" spans="1:8" x14ac:dyDescent="0.2">
      <c r="A13" s="101">
        <v>43891</v>
      </c>
      <c r="B13">
        <v>501.29399999999998</v>
      </c>
      <c r="C13">
        <v>-1618.6279999999999</v>
      </c>
    </row>
    <row r="14" spans="1:8" x14ac:dyDescent="0.2">
      <c r="A14" s="101">
        <v>43922</v>
      </c>
      <c r="B14">
        <v>445.22499999999997</v>
      </c>
      <c r="C14">
        <v>-2788.2489999999998</v>
      </c>
    </row>
    <row r="15" spans="1:8" x14ac:dyDescent="0.2">
      <c r="A15" s="101">
        <v>43952</v>
      </c>
      <c r="B15">
        <v>248.202</v>
      </c>
      <c r="C15">
        <v>-3553.2280000000001</v>
      </c>
    </row>
    <row r="16" spans="1:8" x14ac:dyDescent="0.2">
      <c r="A16" s="101">
        <v>43983</v>
      </c>
      <c r="B16">
        <v>263.666</v>
      </c>
      <c r="C16">
        <v>-3004.1750000000002</v>
      </c>
    </row>
    <row r="17" spans="1:5" x14ac:dyDescent="0.2">
      <c r="A17" s="101">
        <v>44013</v>
      </c>
      <c r="B17">
        <v>299.113</v>
      </c>
      <c r="C17">
        <v>-2598.9670000000001</v>
      </c>
    </row>
    <row r="18" spans="1:5" x14ac:dyDescent="0.2">
      <c r="A18" s="101">
        <v>44044</v>
      </c>
      <c r="B18">
        <v>383.17500000000001</v>
      </c>
      <c r="C18">
        <v>-2411.107</v>
      </c>
    </row>
    <row r="19" spans="1:5" x14ac:dyDescent="0.2">
      <c r="A19" s="101">
        <v>44075</v>
      </c>
      <c r="B19">
        <v>447.67499999999995</v>
      </c>
      <c r="C19">
        <v>-1697.163</v>
      </c>
    </row>
    <row r="20" spans="1:5" x14ac:dyDescent="0.2">
      <c r="A20" s="101">
        <v>44105</v>
      </c>
      <c r="B20">
        <v>599.899</v>
      </c>
      <c r="C20">
        <v>-516.95100000000002</v>
      </c>
    </row>
    <row r="21" spans="1:5" x14ac:dyDescent="0.2">
      <c r="A21" s="101">
        <v>44136</v>
      </c>
      <c r="B21">
        <v>639.56299999999999</v>
      </c>
      <c r="C21">
        <v>-261.666</v>
      </c>
    </row>
    <row r="22" spans="1:5" x14ac:dyDescent="0.2">
      <c r="A22" s="101">
        <v>44166</v>
      </c>
      <c r="B22">
        <v>698.52199999999993</v>
      </c>
      <c r="C22">
        <v>-102.842</v>
      </c>
    </row>
    <row r="25" spans="1:5" x14ac:dyDescent="0.2">
      <c r="A25" s="2" t="s">
        <v>61</v>
      </c>
      <c r="B25" s="132">
        <f>SUM(B11:B22)</f>
        <v>6164.1180000000004</v>
      </c>
      <c r="C25" s="132">
        <f>SUM(C11:C22)</f>
        <v>-18989.253000000004</v>
      </c>
      <c r="D25" s="132">
        <v>23530</v>
      </c>
      <c r="E25" s="132">
        <f>B25+(C25+D25)</f>
        <v>10704.864999999996</v>
      </c>
    </row>
    <row r="26" spans="1:5" x14ac:dyDescent="0.2">
      <c r="B26" s="105" t="s">
        <v>38</v>
      </c>
      <c r="C26" s="105" t="s">
        <v>39</v>
      </c>
      <c r="D26" s="103" t="s">
        <v>37</v>
      </c>
      <c r="E26" s="102" t="s">
        <v>62</v>
      </c>
    </row>
    <row r="28" spans="1:5" x14ac:dyDescent="0.2">
      <c r="A28" t="s">
        <v>41</v>
      </c>
      <c r="B28" s="2" t="s">
        <v>136</v>
      </c>
    </row>
  </sheetData>
  <pageMargins left="0.7" right="0.7" top="0.75" bottom="0.75" header="0.3" footer="0.3"/>
  <pageSetup paperSize="9" orientation="portrait" r:id="rId1"/>
  <headerFooter>
    <oddHeader>&amp;LLaatst bijgewerkt op 22 januari 2021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9"/>
  <sheetViews>
    <sheetView topLeftCell="A22" zoomScaleNormal="100" workbookViewId="0">
      <selection activeCell="F8" sqref="F8"/>
    </sheetView>
  </sheetViews>
  <sheetFormatPr defaultColWidth="0" defaultRowHeight="14.25" x14ac:dyDescent="0.2"/>
  <cols>
    <col min="1" max="1" width="23.7109375" style="53" customWidth="1"/>
    <col min="2" max="2" width="17.140625" style="53" customWidth="1"/>
    <col min="3" max="3" width="7.42578125" style="53" customWidth="1"/>
    <col min="4" max="4" width="9" style="53" customWidth="1"/>
    <col min="5" max="5" width="10.7109375" style="53" bestFit="1" customWidth="1"/>
    <col min="6" max="6" width="9.42578125" style="53" customWidth="1"/>
    <col min="7" max="7" width="10.7109375" style="53" bestFit="1" customWidth="1"/>
    <col min="8" max="8" width="2.42578125" style="53" customWidth="1"/>
    <col min="9" max="16384" width="9.140625" style="53" hidden="1"/>
  </cols>
  <sheetData>
    <row r="2" spans="1:7" ht="23.25" x14ac:dyDescent="0.2">
      <c r="A2" s="409">
        <v>2020</v>
      </c>
      <c r="B2" s="409"/>
      <c r="C2" s="409"/>
      <c r="D2" s="409"/>
      <c r="E2" s="409"/>
      <c r="F2" s="409"/>
      <c r="G2" s="409"/>
    </row>
    <row r="3" spans="1:7" x14ac:dyDescent="0.2">
      <c r="A3" s="410" t="s">
        <v>44</v>
      </c>
      <c r="B3" s="404"/>
      <c r="C3" s="404"/>
      <c r="D3" s="404"/>
      <c r="E3" s="404"/>
      <c r="F3" s="404"/>
      <c r="G3" s="404"/>
    </row>
    <row r="4" spans="1:7" x14ac:dyDescent="0.2">
      <c r="A4" s="52" t="s">
        <v>45</v>
      </c>
      <c r="B4" s="52"/>
      <c r="C4" s="52"/>
      <c r="D4" s="52"/>
      <c r="E4" s="52"/>
      <c r="F4" s="52"/>
      <c r="G4" s="52"/>
    </row>
    <row r="5" spans="1:7" x14ac:dyDescent="0.2">
      <c r="A5" s="3" t="s">
        <v>13</v>
      </c>
      <c r="B5" s="24">
        <f>'Dieselolie 2020'!B10</f>
        <v>38363.590000000004</v>
      </c>
      <c r="C5" s="3" t="s">
        <v>46</v>
      </c>
      <c r="D5" s="25"/>
      <c r="E5" s="4">
        <f>'Dieselolie 2020'!C10</f>
        <v>125142.03058000001</v>
      </c>
      <c r="F5" s="3" t="s">
        <v>10</v>
      </c>
      <c r="G5" s="27">
        <f>E5/$E$16</f>
        <v>0.81296675117492201</v>
      </c>
    </row>
    <row r="6" spans="1:7" x14ac:dyDescent="0.2">
      <c r="A6" s="3" t="s">
        <v>47</v>
      </c>
      <c r="B6" s="24">
        <f>'Euro 95 2020'!B7</f>
        <v>8449.6999999999989</v>
      </c>
      <c r="C6" s="3" t="s">
        <v>46</v>
      </c>
      <c r="D6" s="25"/>
      <c r="E6" s="4">
        <f>'Euro 95 2020'!C7</f>
        <v>23523.964799999994</v>
      </c>
      <c r="F6" s="3" t="s">
        <v>10</v>
      </c>
      <c r="G6" s="27">
        <f>E6/$E$16</f>
        <v>0.1528199690349728</v>
      </c>
    </row>
    <row r="7" spans="1:7" x14ac:dyDescent="0.2">
      <c r="A7" s="3" t="s">
        <v>112</v>
      </c>
      <c r="B7" s="24">
        <f>'Euro 95 2020'!C26</f>
        <v>5782</v>
      </c>
      <c r="C7" s="3" t="s">
        <v>186</v>
      </c>
      <c r="D7" s="25"/>
      <c r="E7" s="4">
        <f>'Euro 95 2020'!C8</f>
        <v>1167.9640000000002</v>
      </c>
      <c r="F7" s="3" t="s">
        <v>10</v>
      </c>
      <c r="G7" s="27">
        <f>E7/E16</f>
        <v>7.5875059256151848E-3</v>
      </c>
    </row>
    <row r="8" spans="1:7" x14ac:dyDescent="0.2">
      <c r="A8" s="3"/>
      <c r="B8" s="24"/>
      <c r="C8" s="3"/>
      <c r="D8" s="25"/>
      <c r="E8" s="4"/>
      <c r="F8" s="3"/>
      <c r="G8" s="27"/>
    </row>
    <row r="9" spans="1:7" x14ac:dyDescent="0.2">
      <c r="A9" s="408" t="s">
        <v>48</v>
      </c>
      <c r="B9" s="408"/>
      <c r="C9" s="408"/>
      <c r="D9" s="408"/>
      <c r="E9" s="22">
        <f>SUM(E5+E6+E7)</f>
        <v>149833.95938000001</v>
      </c>
      <c r="F9" s="7" t="s">
        <v>10</v>
      </c>
      <c r="G9" s="28">
        <f>E9/$E$16</f>
        <v>0.97337422613551006</v>
      </c>
    </row>
    <row r="10" spans="1:7" x14ac:dyDescent="0.2">
      <c r="A10" s="52" t="s">
        <v>49</v>
      </c>
      <c r="B10" s="52"/>
      <c r="C10" s="52"/>
      <c r="D10" s="52"/>
      <c r="E10" s="52"/>
      <c r="F10" s="52"/>
      <c r="G10" s="52"/>
    </row>
    <row r="11" spans="1:7" ht="14.25" customHeight="1" x14ac:dyDescent="0.2">
      <c r="A11" s="3" t="str">
        <f>'Elektra 2019'!A2</f>
        <v>1. Zonnenergie</v>
      </c>
      <c r="B11" s="4">
        <f>'Elektra 2020'!E25</f>
        <v>10704.864999999996</v>
      </c>
      <c r="C11" s="3" t="s">
        <v>32</v>
      </c>
      <c r="D11" s="108"/>
      <c r="E11" s="4">
        <f>'Elektra 2020'!E2</f>
        <v>0</v>
      </c>
      <c r="F11" s="3" t="s">
        <v>10</v>
      </c>
      <c r="G11" s="27">
        <f>E11/E16</f>
        <v>0</v>
      </c>
    </row>
    <row r="12" spans="1:7" ht="25.5" x14ac:dyDescent="0.2">
      <c r="A12" s="157" t="str">
        <f>'Elektra 2019'!A3</f>
        <v xml:space="preserve">2. Opladen elektrische auto SK-37-1X </v>
      </c>
      <c r="B12" s="4">
        <f>'Elektra 2020'!B3</f>
        <v>4581.6220000000003</v>
      </c>
      <c r="C12" s="3" t="s">
        <v>32</v>
      </c>
      <c r="D12" s="108"/>
      <c r="E12" s="4">
        <f>'Elektra 2020'!E3</f>
        <v>2547.3818320000005</v>
      </c>
      <c r="F12" s="3" t="s">
        <v>10</v>
      </c>
      <c r="G12" s="27">
        <f>E12/E16</f>
        <v>1.6548690494830719E-2</v>
      </c>
    </row>
    <row r="13" spans="1:7" x14ac:dyDescent="0.2">
      <c r="A13" s="157" t="str">
        <f>'Stadswarmte 2019'!A6</f>
        <v>Stadswarmte</v>
      </c>
      <c r="B13" s="4">
        <f>'Stadswarmte 2020'!B6</f>
        <v>57.793999999999997</v>
      </c>
      <c r="C13" s="3" t="str">
        <f>'Stadswarmte 2019'!B5</f>
        <v>GJ</v>
      </c>
      <c r="D13" s="108"/>
      <c r="E13" s="4">
        <f>'Stadswarmte 2020'!C6</f>
        <v>1551.1909599999999</v>
      </c>
      <c r="F13" s="3" t="s">
        <v>10</v>
      </c>
      <c r="G13" s="27">
        <f>E13/E16</f>
        <v>1.0077083369659257E-2</v>
      </c>
    </row>
    <row r="14" spans="1:7" x14ac:dyDescent="0.2">
      <c r="A14" s="408" t="s">
        <v>48</v>
      </c>
      <c r="B14" s="408"/>
      <c r="C14" s="408"/>
      <c r="D14" s="408"/>
      <c r="E14" s="22">
        <f>SUM(E11:E13)</f>
        <v>4098.5727920000008</v>
      </c>
      <c r="F14" s="7" t="s">
        <v>10</v>
      </c>
      <c r="G14" s="28">
        <f>E14/E16</f>
        <v>2.6625773864489981E-2</v>
      </c>
    </row>
    <row r="15" spans="1:7" x14ac:dyDescent="0.2">
      <c r="A15" s="52" t="s">
        <v>12</v>
      </c>
      <c r="B15" s="52"/>
      <c r="C15" s="52"/>
      <c r="D15" s="52"/>
      <c r="E15" s="52"/>
      <c r="F15" s="52"/>
      <c r="G15" s="52"/>
    </row>
    <row r="16" spans="1:7" x14ac:dyDescent="0.2">
      <c r="A16" s="26"/>
      <c r="B16" s="26"/>
      <c r="C16" s="26"/>
      <c r="D16" s="23" t="s">
        <v>51</v>
      </c>
      <c r="E16" s="22">
        <f>E14+E9</f>
        <v>153932.53217200001</v>
      </c>
      <c r="F16" s="7" t="s">
        <v>10</v>
      </c>
      <c r="G16" s="100">
        <f>G9+G14</f>
        <v>1</v>
      </c>
    </row>
    <row r="18" spans="1:7" x14ac:dyDescent="0.2">
      <c r="B18" s="4"/>
    </row>
    <row r="20" spans="1:7" x14ac:dyDescent="0.2">
      <c r="A20" s="54" t="s">
        <v>113</v>
      </c>
      <c r="B20" s="55" t="s">
        <v>137</v>
      </c>
      <c r="C20" s="26"/>
      <c r="D20" s="26"/>
      <c r="E20" s="26"/>
      <c r="F20" s="26"/>
      <c r="G20" s="26"/>
    </row>
    <row r="21" spans="1:7" x14ac:dyDescent="0.2">
      <c r="A21" s="56" t="s">
        <v>115</v>
      </c>
      <c r="B21" s="57">
        <v>44225</v>
      </c>
      <c r="C21" s="26"/>
      <c r="D21" s="26"/>
      <c r="E21" s="26"/>
      <c r="F21" s="26"/>
      <c r="G21" s="26"/>
    </row>
    <row r="22" spans="1:7" x14ac:dyDescent="0.2">
      <c r="A22" s="56" t="s">
        <v>116</v>
      </c>
      <c r="B22" s="58" t="s">
        <v>117</v>
      </c>
      <c r="C22" s="26"/>
      <c r="D22" s="26"/>
      <c r="E22" s="26"/>
      <c r="F22" s="26"/>
      <c r="G22" s="26"/>
    </row>
    <row r="23" spans="1:7" x14ac:dyDescent="0.2">
      <c r="A23" s="59" t="s">
        <v>53</v>
      </c>
      <c r="B23" s="60">
        <v>44243</v>
      </c>
      <c r="C23" s="26"/>
      <c r="D23" s="26"/>
      <c r="E23" s="26"/>
      <c r="F23" s="26"/>
      <c r="G23" s="26"/>
    </row>
    <row r="24" spans="1:7" x14ac:dyDescent="0.2">
      <c r="A24" s="26"/>
      <c r="B24" s="26"/>
      <c r="C24" s="26"/>
      <c r="D24" s="26"/>
      <c r="E24" s="26"/>
      <c r="F24" s="26"/>
      <c r="G24" s="26"/>
    </row>
    <row r="25" spans="1:7" ht="63.75" customHeight="1" x14ac:dyDescent="0.2">
      <c r="A25" s="409">
        <v>2020</v>
      </c>
      <c r="B25" s="409"/>
      <c r="C25" s="409"/>
      <c r="D25" s="409"/>
      <c r="E25" s="409"/>
      <c r="F25" s="409"/>
      <c r="G25" s="409"/>
    </row>
    <row r="26" spans="1:7" x14ac:dyDescent="0.2">
      <c r="A26" s="410" t="s">
        <v>118</v>
      </c>
      <c r="B26" s="404"/>
      <c r="C26" s="404"/>
      <c r="D26" s="404"/>
      <c r="E26" s="404"/>
      <c r="F26" s="404"/>
      <c r="G26" s="404"/>
    </row>
    <row r="27" spans="1:7" x14ac:dyDescent="0.2">
      <c r="A27" s="52" t="s">
        <v>119</v>
      </c>
      <c r="B27" s="52"/>
      <c r="C27" s="52"/>
      <c r="D27" s="52"/>
      <c r="E27" s="52"/>
      <c r="F27" s="52"/>
      <c r="G27" s="52"/>
    </row>
    <row r="28" spans="1:7" x14ac:dyDescent="0.2">
      <c r="A28" s="3" t="s">
        <v>13</v>
      </c>
      <c r="B28" s="24">
        <f>B5</f>
        <v>38363.590000000004</v>
      </c>
      <c r="C28" s="3" t="s">
        <v>46</v>
      </c>
      <c r="D28" s="25"/>
      <c r="E28" s="4">
        <f>E5</f>
        <v>125142.03058000001</v>
      </c>
      <c r="F28" s="3" t="s">
        <v>10</v>
      </c>
      <c r="G28" s="27">
        <f>E28/$E$16</f>
        <v>0.81296675117492201</v>
      </c>
    </row>
    <row r="29" spans="1:7" x14ac:dyDescent="0.2">
      <c r="A29" s="3" t="s">
        <v>47</v>
      </c>
      <c r="B29" s="24">
        <f>B6</f>
        <v>8449.6999999999989</v>
      </c>
      <c r="C29" s="3" t="s">
        <v>46</v>
      </c>
      <c r="D29" s="25"/>
      <c r="E29" s="4">
        <f>E6</f>
        <v>23523.964799999994</v>
      </c>
      <c r="F29" s="3" t="s">
        <v>10</v>
      </c>
      <c r="G29" s="27">
        <f>E29/$E$16</f>
        <v>0.1528199690349728</v>
      </c>
    </row>
    <row r="30" spans="1:7" x14ac:dyDescent="0.2">
      <c r="A30" s="3" t="s">
        <v>112</v>
      </c>
      <c r="B30" s="24">
        <f>B7</f>
        <v>5782</v>
      </c>
      <c r="C30" s="3" t="s">
        <v>46</v>
      </c>
      <c r="D30" s="25"/>
      <c r="E30" s="4">
        <f>E7</f>
        <v>1167.9640000000002</v>
      </c>
      <c r="F30" s="3" t="s">
        <v>10</v>
      </c>
      <c r="G30" s="27">
        <f>E30/E39</f>
        <v>7.5875059256151848E-3</v>
      </c>
    </row>
    <row r="31" spans="1:7" x14ac:dyDescent="0.2">
      <c r="A31" s="3"/>
      <c r="B31" s="24"/>
      <c r="C31" s="3"/>
      <c r="D31" s="25"/>
      <c r="E31" s="4"/>
      <c r="F31" s="3"/>
      <c r="G31" s="27"/>
    </row>
    <row r="32" spans="1:7" x14ac:dyDescent="0.2">
      <c r="A32" s="408" t="s">
        <v>48</v>
      </c>
      <c r="B32" s="408"/>
      <c r="C32" s="408"/>
      <c r="D32" s="408"/>
      <c r="E32" s="22">
        <f>SUM(E28+E29+E30)</f>
        <v>149833.95938000001</v>
      </c>
      <c r="F32" s="7" t="s">
        <v>10</v>
      </c>
      <c r="G32" s="28">
        <f>E32/$E$16</f>
        <v>0.97337422613551006</v>
      </c>
    </row>
    <row r="33" spans="1:7" x14ac:dyDescent="0.2">
      <c r="A33" s="52" t="s">
        <v>120</v>
      </c>
      <c r="B33" s="52"/>
      <c r="C33" s="52"/>
      <c r="D33" s="52"/>
      <c r="E33" s="52"/>
      <c r="F33" s="52"/>
      <c r="G33" s="52"/>
    </row>
    <row r="34" spans="1:7" x14ac:dyDescent="0.2">
      <c r="A34" s="3" t="str">
        <f t="shared" ref="A34:B36" si="0">A11</f>
        <v>1. Zonnenergie</v>
      </c>
      <c r="B34" s="4">
        <f t="shared" si="0"/>
        <v>10704.864999999996</v>
      </c>
      <c r="C34" s="3" t="s">
        <v>32</v>
      </c>
      <c r="D34" s="108"/>
      <c r="E34" s="4">
        <f>E11</f>
        <v>0</v>
      </c>
      <c r="F34" s="3" t="s">
        <v>10</v>
      </c>
      <c r="G34" s="27">
        <f>E34/E39</f>
        <v>0</v>
      </c>
    </row>
    <row r="35" spans="1:7" ht="25.5" x14ac:dyDescent="0.2">
      <c r="A35" s="157" t="str">
        <f t="shared" si="0"/>
        <v xml:space="preserve">2. Opladen elektrische auto SK-37-1X </v>
      </c>
      <c r="B35" s="4">
        <f t="shared" si="0"/>
        <v>4581.6220000000003</v>
      </c>
      <c r="C35" s="3" t="s">
        <v>32</v>
      </c>
      <c r="D35" s="108"/>
      <c r="E35" s="4">
        <f t="shared" ref="E35:E36" si="1">E12</f>
        <v>2547.3818320000005</v>
      </c>
      <c r="F35" s="3" t="s">
        <v>10</v>
      </c>
      <c r="G35" s="27">
        <f>E35/E39</f>
        <v>1.6548690494830719E-2</v>
      </c>
    </row>
    <row r="36" spans="1:7" x14ac:dyDescent="0.2">
      <c r="A36" s="157" t="str">
        <f t="shared" si="0"/>
        <v>Stadswarmte</v>
      </c>
      <c r="B36" s="4">
        <f t="shared" si="0"/>
        <v>57.793999999999997</v>
      </c>
      <c r="C36" s="3" t="str">
        <f>C13</f>
        <v>GJ</v>
      </c>
      <c r="D36" s="108"/>
      <c r="E36" s="4">
        <f t="shared" si="1"/>
        <v>1551.1909599999999</v>
      </c>
      <c r="F36" s="3" t="s">
        <v>10</v>
      </c>
      <c r="G36" s="27">
        <f>E36/E39</f>
        <v>1.0077083369659257E-2</v>
      </c>
    </row>
    <row r="37" spans="1:7" x14ac:dyDescent="0.2">
      <c r="A37" s="408" t="s">
        <v>48</v>
      </c>
      <c r="B37" s="408"/>
      <c r="C37" s="408"/>
      <c r="D37" s="408"/>
      <c r="E37" s="22">
        <f>SUM(E34:E36)</f>
        <v>4098.5727920000008</v>
      </c>
      <c r="F37" s="7" t="s">
        <v>10</v>
      </c>
      <c r="G37" s="28">
        <f>E37/E39</f>
        <v>2.6625773864489981E-2</v>
      </c>
    </row>
    <row r="38" spans="1:7" x14ac:dyDescent="0.2">
      <c r="A38" s="52" t="s">
        <v>12</v>
      </c>
      <c r="B38" s="52"/>
      <c r="C38" s="52"/>
      <c r="D38" s="52"/>
      <c r="E38" s="52"/>
      <c r="F38" s="52"/>
      <c r="G38" s="52"/>
    </row>
    <row r="39" spans="1:7" x14ac:dyDescent="0.2">
      <c r="A39" s="26"/>
      <c r="B39" s="26"/>
      <c r="C39" s="26"/>
      <c r="D39" s="23" t="s">
        <v>51</v>
      </c>
      <c r="E39" s="22">
        <f>E37+E32</f>
        <v>153932.53217200001</v>
      </c>
      <c r="F39" s="7" t="s">
        <v>10</v>
      </c>
      <c r="G39" s="100">
        <f>G32+G37</f>
        <v>1</v>
      </c>
    </row>
  </sheetData>
  <mergeCells count="8">
    <mergeCell ref="A32:D32"/>
    <mergeCell ref="A37:D37"/>
    <mergeCell ref="A2:G2"/>
    <mergeCell ref="A3:G3"/>
    <mergeCell ref="A9:D9"/>
    <mergeCell ref="A14:D14"/>
    <mergeCell ref="A25:G25"/>
    <mergeCell ref="A26:G26"/>
  </mergeCells>
  <pageMargins left="0.7" right="0.7" top="0.75" bottom="0.75" header="0.3" footer="0.3"/>
  <pageSetup paperSize="9" orientation="portrait" r:id="rId1"/>
  <headerFooter>
    <oddHeader>&amp;LVERSIE 16-2-2021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C109"/>
  <sheetViews>
    <sheetView view="pageLayout" topLeftCell="A22" zoomScaleNormal="100" workbookViewId="0">
      <selection activeCell="B23" sqref="B23"/>
    </sheetView>
  </sheetViews>
  <sheetFormatPr defaultColWidth="0" defaultRowHeight="12.75" x14ac:dyDescent="0.2"/>
  <cols>
    <col min="1" max="1" width="40.28515625" style="1" bestFit="1" customWidth="1"/>
    <col min="2" max="2" width="25.28515625" style="1" customWidth="1"/>
    <col min="3" max="3" width="11.42578125" bestFit="1" customWidth="1"/>
    <col min="4" max="4" width="11" bestFit="1" customWidth="1"/>
    <col min="5" max="5" width="21" bestFit="1" customWidth="1"/>
    <col min="6" max="6" width="9.140625" customWidth="1"/>
    <col min="7" max="7" width="23.7109375" customWidth="1"/>
    <col min="8" max="8" width="9.140625" hidden="1" customWidth="1"/>
    <col min="9" max="9" width="10" hidden="1" customWidth="1"/>
    <col min="10" max="10" width="11" hidden="1" customWidth="1"/>
    <col min="11" max="16383" width="9.140625" hidden="1"/>
    <col min="16384" max="16384" width="16.140625" customWidth="1"/>
  </cols>
  <sheetData>
    <row r="1" spans="1:7" ht="15.75" x14ac:dyDescent="0.25">
      <c r="A1" s="6" t="s">
        <v>6</v>
      </c>
      <c r="B1" s="49" t="s">
        <v>7</v>
      </c>
    </row>
    <row r="2" spans="1:7" ht="15.75" x14ac:dyDescent="0.25">
      <c r="A2" s="6"/>
    </row>
    <row r="3" spans="1:7" x14ac:dyDescent="0.2">
      <c r="A3" s="10" t="s">
        <v>8</v>
      </c>
      <c r="B3" s="11">
        <v>3.3090000000000002</v>
      </c>
    </row>
    <row r="4" spans="1:7" x14ac:dyDescent="0.2">
      <c r="C4" s="2"/>
      <c r="D4" s="2"/>
      <c r="E4" s="2"/>
      <c r="F4" s="2"/>
    </row>
    <row r="5" spans="1:7" x14ac:dyDescent="0.2">
      <c r="A5" s="306"/>
      <c r="B5" s="35" t="s">
        <v>9</v>
      </c>
      <c r="C5" s="307" t="s">
        <v>10</v>
      </c>
      <c r="F5" s="2"/>
    </row>
    <row r="6" spans="1:7" x14ac:dyDescent="0.2">
      <c r="A6" s="308" t="s">
        <v>11</v>
      </c>
      <c r="B6" s="38">
        <f>C14</f>
        <v>33037</v>
      </c>
      <c r="C6" s="309">
        <f t="shared" ref="C6:C8" si="0">B6*$B$3</f>
        <v>109319.433</v>
      </c>
    </row>
    <row r="7" spans="1:7" x14ac:dyDescent="0.2">
      <c r="A7" s="34"/>
      <c r="B7" s="39"/>
      <c r="C7" s="36"/>
    </row>
    <row r="8" spans="1:7" x14ac:dyDescent="0.2">
      <c r="A8" s="31" t="s">
        <v>12</v>
      </c>
      <c r="B8" s="40">
        <f>SUM(B6:B7)</f>
        <v>33037</v>
      </c>
      <c r="C8" s="37">
        <f t="shared" si="0"/>
        <v>109319.433</v>
      </c>
    </row>
    <row r="10" spans="1:7" x14ac:dyDescent="0.2">
      <c r="C10" s="66"/>
    </row>
    <row r="11" spans="1:7" ht="15" x14ac:dyDescent="0.25">
      <c r="A11" s="310" t="s">
        <v>13</v>
      </c>
      <c r="B11" s="14" t="s">
        <v>14</v>
      </c>
      <c r="C11" s="14" t="s">
        <v>9</v>
      </c>
      <c r="D11" s="14" t="s">
        <v>15</v>
      </c>
      <c r="E11" s="14" t="s">
        <v>16</v>
      </c>
      <c r="F11" s="311" t="s">
        <v>17</v>
      </c>
      <c r="G11" s="70" t="s">
        <v>18</v>
      </c>
    </row>
    <row r="12" spans="1:7" x14ac:dyDescent="0.2">
      <c r="A12" s="71"/>
      <c r="B12" s="33"/>
      <c r="C12" s="65"/>
      <c r="D12" s="16"/>
      <c r="E12" s="16"/>
      <c r="F12" s="17"/>
    </row>
    <row r="13" spans="1:7" s="63" customFormat="1" ht="25.5" x14ac:dyDescent="0.2">
      <c r="A13" s="15" t="s">
        <v>19</v>
      </c>
      <c r="B13" s="73" t="s">
        <v>20</v>
      </c>
      <c r="C13" s="83">
        <v>33037</v>
      </c>
      <c r="D13" s="64">
        <f t="shared" ref="D13:D14" si="1">C13*$B$3</f>
        <v>109319.433</v>
      </c>
      <c r="E13" s="64"/>
      <c r="F13" s="84"/>
      <c r="G13" s="85"/>
    </row>
    <row r="14" spans="1:7" s="95" customFormat="1" x14ac:dyDescent="0.2">
      <c r="A14" s="69"/>
      <c r="B14" s="87"/>
      <c r="C14" s="91">
        <f>SUM(C13)</f>
        <v>33037</v>
      </c>
      <c r="D14" s="92">
        <f t="shared" si="1"/>
        <v>109319.433</v>
      </c>
      <c r="E14" s="92"/>
      <c r="F14" s="93"/>
      <c r="G14" s="94"/>
    </row>
    <row r="15" spans="1:7" s="63" customFormat="1" x14ac:dyDescent="0.2">
      <c r="A15" s="15"/>
      <c r="B15" s="73"/>
      <c r="C15" s="83"/>
      <c r="D15" s="64"/>
      <c r="E15" s="64"/>
      <c r="F15" s="84"/>
      <c r="G15" s="85"/>
    </row>
    <row r="16" spans="1:7" s="63" customFormat="1" x14ac:dyDescent="0.2">
      <c r="A16" s="15"/>
      <c r="B16" s="73"/>
      <c r="C16" s="83"/>
      <c r="D16" s="64"/>
      <c r="E16" s="64"/>
      <c r="F16" s="84"/>
      <c r="G16" s="85"/>
    </row>
    <row r="17" spans="1:7" x14ac:dyDescent="0.2">
      <c r="A17" s="15"/>
      <c r="B17" s="33"/>
      <c r="C17" s="65"/>
      <c r="D17" s="16"/>
      <c r="E17" s="16"/>
      <c r="F17" s="17"/>
      <c r="G17" s="68"/>
    </row>
    <row r="18" spans="1:7" x14ac:dyDescent="0.2">
      <c r="A18" s="69"/>
      <c r="B18" s="33"/>
      <c r="C18" s="65"/>
      <c r="D18" s="16"/>
      <c r="E18" s="16"/>
      <c r="F18" s="17"/>
      <c r="G18" s="68"/>
    </row>
    <row r="19" spans="1:7" ht="25.5" x14ac:dyDescent="0.2">
      <c r="A19" s="61" t="s">
        <v>21</v>
      </c>
      <c r="B19" s="73"/>
      <c r="C19" s="65"/>
      <c r="D19" s="16"/>
      <c r="E19" s="16"/>
      <c r="F19" s="17"/>
      <c r="G19" s="68"/>
    </row>
    <row r="20" spans="1:7" x14ac:dyDescent="0.2">
      <c r="A20" s="61"/>
      <c r="B20" s="73"/>
      <c r="C20" s="65"/>
      <c r="D20" s="16"/>
      <c r="E20" s="16"/>
      <c r="F20" s="17"/>
    </row>
    <row r="21" spans="1:7" x14ac:dyDescent="0.2">
      <c r="A21" s="61"/>
      <c r="B21" s="73"/>
      <c r="C21" s="65"/>
      <c r="D21" s="16"/>
      <c r="E21" s="16"/>
      <c r="F21" s="17"/>
    </row>
    <row r="22" spans="1:7" x14ac:dyDescent="0.2">
      <c r="A22" s="61"/>
      <c r="B22" s="73"/>
      <c r="C22" s="65"/>
      <c r="D22" s="16"/>
      <c r="E22" s="16"/>
      <c r="F22" s="17"/>
    </row>
    <row r="23" spans="1:7" x14ac:dyDescent="0.2">
      <c r="A23" s="61"/>
      <c r="B23" s="73"/>
      <c r="C23" s="65"/>
      <c r="D23" s="16"/>
      <c r="E23" s="16"/>
      <c r="F23" s="17"/>
    </row>
    <row r="24" spans="1:7" x14ac:dyDescent="0.2">
      <c r="A24" s="61"/>
      <c r="B24" s="73"/>
      <c r="C24" s="65"/>
      <c r="D24" s="16"/>
      <c r="E24" s="16"/>
      <c r="F24" s="17"/>
    </row>
    <row r="25" spans="1:7" x14ac:dyDescent="0.2">
      <c r="A25" s="61"/>
      <c r="B25" s="73"/>
      <c r="C25" s="65"/>
      <c r="D25" s="16"/>
      <c r="E25" s="16"/>
      <c r="F25" s="17"/>
    </row>
    <row r="26" spans="1:7" x14ac:dyDescent="0.2">
      <c r="A26" s="61"/>
      <c r="B26" s="73"/>
      <c r="C26" s="65"/>
      <c r="D26" s="16"/>
      <c r="E26" s="16"/>
      <c r="F26" s="17"/>
    </row>
    <row r="27" spans="1:7" x14ac:dyDescent="0.2">
      <c r="A27" s="61"/>
      <c r="B27" s="73"/>
      <c r="C27" s="65"/>
      <c r="D27" s="16"/>
      <c r="E27" s="16"/>
      <c r="F27" s="17"/>
    </row>
    <row r="28" spans="1:7" x14ac:dyDescent="0.2">
      <c r="A28" s="61"/>
      <c r="B28" s="73"/>
      <c r="C28" s="65"/>
      <c r="D28" s="16"/>
      <c r="E28" s="16"/>
      <c r="F28" s="17"/>
    </row>
    <row r="29" spans="1:7" x14ac:dyDescent="0.2">
      <c r="A29" s="61"/>
      <c r="B29" s="73"/>
      <c r="C29" s="65"/>
      <c r="D29" s="16"/>
      <c r="E29" s="16"/>
      <c r="F29" s="17"/>
    </row>
    <row r="30" spans="1:7" x14ac:dyDescent="0.2">
      <c r="A30" s="74"/>
      <c r="B30" s="73"/>
      <c r="C30" s="65"/>
      <c r="D30" s="16"/>
      <c r="E30" s="16"/>
      <c r="F30" s="17"/>
    </row>
    <row r="31" spans="1:7" x14ac:dyDescent="0.2">
      <c r="A31" s="61"/>
      <c r="B31" s="73"/>
      <c r="C31" s="65"/>
      <c r="D31" s="16"/>
      <c r="E31" s="16"/>
      <c r="F31" s="17"/>
    </row>
    <row r="32" spans="1:7" x14ac:dyDescent="0.2">
      <c r="A32" s="61"/>
      <c r="B32" s="73"/>
      <c r="C32" s="65"/>
      <c r="D32" s="16"/>
      <c r="E32" s="16"/>
      <c r="F32" s="17"/>
    </row>
    <row r="33" spans="1:6" s="66" customFormat="1" x14ac:dyDescent="0.2">
      <c r="A33" s="71"/>
      <c r="B33" s="87"/>
      <c r="C33" s="88"/>
      <c r="D33" s="67"/>
      <c r="E33" s="67"/>
      <c r="F33" s="89"/>
    </row>
    <row r="34" spans="1:6" x14ac:dyDescent="0.2">
      <c r="A34" s="61"/>
      <c r="B34" s="73"/>
      <c r="C34" s="65"/>
      <c r="D34" s="16"/>
      <c r="E34" s="16"/>
      <c r="F34" s="17"/>
    </row>
    <row r="35" spans="1:6" x14ac:dyDescent="0.2">
      <c r="A35" s="71"/>
      <c r="B35" s="73"/>
      <c r="C35" s="65"/>
      <c r="D35" s="16"/>
      <c r="E35" s="16"/>
      <c r="F35" s="17"/>
    </row>
    <row r="36" spans="1:6" x14ac:dyDescent="0.2">
      <c r="A36" s="61"/>
      <c r="B36" s="73"/>
      <c r="C36" s="65"/>
      <c r="D36" s="16"/>
      <c r="E36" s="16"/>
      <c r="F36" s="17"/>
    </row>
    <row r="37" spans="1:6" x14ac:dyDescent="0.2">
      <c r="A37" s="61"/>
      <c r="B37" s="73"/>
      <c r="C37" s="65"/>
      <c r="D37" s="16"/>
      <c r="E37" s="16"/>
      <c r="F37" s="17"/>
    </row>
    <row r="38" spans="1:6" x14ac:dyDescent="0.2">
      <c r="A38" s="61"/>
      <c r="B38" s="73"/>
      <c r="C38" s="65"/>
      <c r="D38" s="16"/>
      <c r="E38" s="16"/>
      <c r="F38" s="17"/>
    </row>
    <row r="39" spans="1:6" x14ac:dyDescent="0.2">
      <c r="A39" s="61"/>
      <c r="B39" s="73"/>
      <c r="C39" s="75"/>
      <c r="D39" s="16"/>
      <c r="E39" s="16"/>
      <c r="F39" s="17"/>
    </row>
    <row r="40" spans="1:6" x14ac:dyDescent="0.2">
      <c r="A40" s="61"/>
      <c r="B40" s="73"/>
      <c r="C40" s="65"/>
      <c r="D40" s="16"/>
      <c r="E40" s="16"/>
      <c r="F40" s="17"/>
    </row>
    <row r="41" spans="1:6" x14ac:dyDescent="0.2">
      <c r="A41" s="61"/>
      <c r="B41" s="33"/>
      <c r="C41" s="65"/>
      <c r="D41" s="16"/>
      <c r="E41" s="16"/>
      <c r="F41" s="17"/>
    </row>
    <row r="42" spans="1:6" s="66" customFormat="1" x14ac:dyDescent="0.2">
      <c r="A42" s="71"/>
      <c r="B42" s="90"/>
      <c r="C42" s="88"/>
      <c r="D42" s="67"/>
      <c r="E42" s="67"/>
      <c r="F42" s="89"/>
    </row>
    <row r="43" spans="1:6" x14ac:dyDescent="0.2">
      <c r="A43" s="61"/>
      <c r="B43" s="33"/>
      <c r="C43" s="65"/>
      <c r="D43" s="16"/>
      <c r="E43" s="16"/>
      <c r="F43" s="17"/>
    </row>
    <row r="44" spans="1:6" x14ac:dyDescent="0.2">
      <c r="A44" s="61"/>
      <c r="B44" s="33"/>
      <c r="C44" s="65"/>
      <c r="D44" s="16"/>
      <c r="E44" s="16"/>
      <c r="F44" s="17"/>
    </row>
    <row r="45" spans="1:6" x14ac:dyDescent="0.2">
      <c r="A45" s="61"/>
      <c r="B45" s="33"/>
      <c r="C45" s="65"/>
      <c r="D45" s="16"/>
      <c r="E45" s="16"/>
      <c r="F45" s="17"/>
    </row>
    <row r="46" spans="1:6" x14ac:dyDescent="0.2">
      <c r="A46" s="61"/>
      <c r="B46" s="33"/>
      <c r="C46" s="65"/>
      <c r="D46" s="16"/>
      <c r="E46" s="16"/>
      <c r="F46" s="17"/>
    </row>
    <row r="47" spans="1:6" x14ac:dyDescent="0.2">
      <c r="A47" s="61"/>
      <c r="B47" s="33"/>
      <c r="C47" s="65"/>
      <c r="D47" s="16"/>
      <c r="E47" s="16"/>
      <c r="F47" s="17"/>
    </row>
    <row r="48" spans="1:6" x14ac:dyDescent="0.2">
      <c r="A48" s="15"/>
      <c r="B48" s="33"/>
      <c r="C48" s="16"/>
      <c r="D48" s="16"/>
      <c r="E48" s="16"/>
      <c r="F48" s="17"/>
    </row>
    <row r="49" spans="1:7" x14ac:dyDescent="0.2">
      <c r="A49" s="15"/>
      <c r="B49" s="5"/>
      <c r="C49" s="16"/>
      <c r="D49" s="16"/>
      <c r="E49" s="16"/>
      <c r="F49" s="17"/>
    </row>
    <row r="51" spans="1:7" ht="15" x14ac:dyDescent="0.25">
      <c r="A51" s="346"/>
      <c r="B51" s="32"/>
      <c r="C51" s="32"/>
      <c r="D51" s="32"/>
      <c r="E51" s="32"/>
      <c r="F51" s="312"/>
      <c r="G51" s="70"/>
    </row>
    <row r="52" spans="1:7" x14ac:dyDescent="0.2">
      <c r="A52" s="15"/>
      <c r="B52" s="33"/>
      <c r="C52" s="16"/>
      <c r="D52" s="16"/>
      <c r="E52" s="16"/>
      <c r="F52" s="17"/>
    </row>
    <row r="53" spans="1:7" x14ac:dyDescent="0.2">
      <c r="A53" s="61"/>
      <c r="B53" s="33"/>
      <c r="C53" s="77"/>
      <c r="D53" s="16"/>
      <c r="E53" s="16"/>
      <c r="F53" s="17"/>
    </row>
    <row r="54" spans="1:7" x14ac:dyDescent="0.2">
      <c r="A54" s="61"/>
      <c r="B54" s="33"/>
      <c r="C54" s="77"/>
      <c r="D54" s="16"/>
      <c r="F54" s="17"/>
    </row>
    <row r="55" spans="1:7" x14ac:dyDescent="0.2">
      <c r="A55" s="61"/>
      <c r="B55" s="33"/>
      <c r="C55" s="77"/>
      <c r="D55" s="16"/>
      <c r="F55" s="17"/>
    </row>
    <row r="56" spans="1:7" x14ac:dyDescent="0.2">
      <c r="A56" s="61"/>
      <c r="B56" s="33"/>
      <c r="C56" s="77"/>
      <c r="D56" s="16"/>
      <c r="F56" s="17"/>
    </row>
    <row r="57" spans="1:7" x14ac:dyDescent="0.2">
      <c r="A57" s="61"/>
      <c r="B57" s="33"/>
      <c r="C57" s="77"/>
      <c r="D57" s="16"/>
      <c r="F57" s="17"/>
    </row>
    <row r="58" spans="1:7" x14ac:dyDescent="0.2">
      <c r="C58" s="78"/>
      <c r="D58" s="16"/>
      <c r="F58" s="17"/>
    </row>
    <row r="59" spans="1:7" s="66" customFormat="1" x14ac:dyDescent="0.2">
      <c r="A59" s="29"/>
      <c r="B59" s="29"/>
      <c r="C59" s="79"/>
      <c r="D59" s="67"/>
      <c r="F59" s="17"/>
    </row>
    <row r="60" spans="1:7" s="66" customFormat="1" x14ac:dyDescent="0.2">
      <c r="A60" s="19"/>
      <c r="B60" s="41"/>
      <c r="C60" s="80"/>
      <c r="D60" s="8"/>
      <c r="E60" s="8"/>
      <c r="F60" s="20"/>
    </row>
    <row r="61" spans="1:7" s="66" customFormat="1" x14ac:dyDescent="0.2">
      <c r="A61" s="29"/>
      <c r="B61" s="29"/>
      <c r="C61" s="79"/>
      <c r="D61" s="67"/>
      <c r="F61" s="17"/>
    </row>
    <row r="62" spans="1:7" ht="15" x14ac:dyDescent="0.25">
      <c r="A62" s="346"/>
      <c r="B62" s="32"/>
      <c r="C62" s="81"/>
      <c r="D62" s="32"/>
      <c r="E62" s="32"/>
      <c r="F62" s="312"/>
      <c r="G62" s="70"/>
    </row>
    <row r="63" spans="1:7" x14ac:dyDescent="0.2">
      <c r="A63" s="62"/>
      <c r="B63" s="5"/>
      <c r="C63" s="82"/>
      <c r="D63" s="64"/>
      <c r="F63" s="17"/>
    </row>
    <row r="64" spans="1:7" x14ac:dyDescent="0.2">
      <c r="A64" s="62"/>
      <c r="B64" s="5"/>
      <c r="C64" s="82"/>
      <c r="D64" s="64"/>
      <c r="F64" s="17"/>
    </row>
    <row r="65" spans="1:7" x14ac:dyDescent="0.2">
      <c r="A65" s="62"/>
      <c r="B65" s="5"/>
      <c r="C65" s="82"/>
      <c r="D65" s="64"/>
      <c r="F65" s="17"/>
    </row>
    <row r="66" spans="1:7" x14ac:dyDescent="0.2">
      <c r="A66" s="62"/>
      <c r="B66" s="5"/>
      <c r="C66" s="82"/>
      <c r="D66" s="1"/>
      <c r="F66" s="17"/>
    </row>
    <row r="67" spans="1:7" x14ac:dyDescent="0.2">
      <c r="A67" s="62"/>
      <c r="B67" s="5"/>
      <c r="C67" s="82"/>
      <c r="D67" s="1"/>
      <c r="F67" s="17"/>
    </row>
    <row r="68" spans="1:7" x14ac:dyDescent="0.2">
      <c r="A68" s="62"/>
      <c r="B68" s="5"/>
      <c r="C68" s="82"/>
      <c r="D68" s="1"/>
      <c r="F68" s="17"/>
    </row>
    <row r="69" spans="1:7" x14ac:dyDescent="0.2">
      <c r="A69" s="62"/>
      <c r="B69" s="5"/>
      <c r="C69" s="82"/>
      <c r="D69" s="1"/>
      <c r="F69" s="17"/>
    </row>
    <row r="70" spans="1:7" x14ac:dyDescent="0.2">
      <c r="C70" s="78"/>
      <c r="D70" s="1"/>
      <c r="F70" s="17"/>
    </row>
    <row r="71" spans="1:7" x14ac:dyDescent="0.2">
      <c r="A71" s="72"/>
      <c r="C71" s="78"/>
      <c r="D71" s="1"/>
      <c r="F71" s="17"/>
    </row>
    <row r="72" spans="1:7" x14ac:dyDescent="0.2">
      <c r="A72" s="19"/>
      <c r="B72" s="41"/>
      <c r="C72" s="80"/>
      <c r="D72" s="8"/>
      <c r="E72" s="8"/>
      <c r="F72" s="20"/>
    </row>
    <row r="73" spans="1:7" x14ac:dyDescent="0.2">
      <c r="C73" s="78"/>
    </row>
    <row r="74" spans="1:7" ht="15" x14ac:dyDescent="0.25">
      <c r="A74" s="347"/>
      <c r="B74" s="32"/>
      <c r="C74" s="81"/>
      <c r="D74" s="32"/>
      <c r="E74" s="32"/>
      <c r="F74" s="312"/>
      <c r="G74" s="70"/>
    </row>
    <row r="75" spans="1:7" x14ac:dyDescent="0.2">
      <c r="A75" s="5"/>
      <c r="B75" s="33"/>
      <c r="D75" s="16"/>
      <c r="E75" s="16"/>
      <c r="F75" s="17"/>
    </row>
    <row r="76" spans="1:7" x14ac:dyDescent="0.2">
      <c r="A76" s="18"/>
      <c r="B76" s="33"/>
      <c r="C76" s="16"/>
      <c r="D76" s="16"/>
      <c r="E76" s="16"/>
      <c r="F76" s="17"/>
    </row>
    <row r="77" spans="1:7" x14ac:dyDescent="0.2">
      <c r="A77" s="18"/>
      <c r="B77" s="13"/>
      <c r="C77" s="16"/>
      <c r="D77" s="16"/>
      <c r="E77" s="16"/>
      <c r="F77" s="17"/>
    </row>
    <row r="78" spans="1:7" x14ac:dyDescent="0.2">
      <c r="A78" s="18"/>
      <c r="B78" s="13"/>
      <c r="C78" s="16"/>
      <c r="D78" s="16"/>
      <c r="E78" s="16"/>
      <c r="F78" s="17"/>
    </row>
    <row r="79" spans="1:7" x14ac:dyDescent="0.2">
      <c r="A79" s="18"/>
      <c r="B79" s="33"/>
      <c r="C79" s="16"/>
      <c r="D79" s="16"/>
      <c r="E79" s="16"/>
      <c r="F79" s="17"/>
    </row>
    <row r="80" spans="1:7" x14ac:dyDescent="0.2">
      <c r="A80" s="18"/>
      <c r="B80" s="33"/>
      <c r="C80" s="16"/>
      <c r="D80" s="16"/>
      <c r="E80" s="16"/>
      <c r="F80" s="17"/>
    </row>
    <row r="81" spans="1:7" x14ac:dyDescent="0.2">
      <c r="A81" s="18"/>
      <c r="B81" s="33"/>
      <c r="C81" s="77"/>
      <c r="D81" s="16"/>
      <c r="E81" s="16"/>
      <c r="F81" s="17"/>
    </row>
    <row r="82" spans="1:7" x14ac:dyDescent="0.2">
      <c r="A82" s="18"/>
      <c r="B82" s="33"/>
      <c r="C82" s="77"/>
      <c r="D82" s="16"/>
      <c r="E82" s="16"/>
      <c r="F82" s="17"/>
    </row>
    <row r="83" spans="1:7" x14ac:dyDescent="0.2">
      <c r="A83" s="18"/>
      <c r="B83" s="13"/>
      <c r="C83" s="77"/>
      <c r="D83" s="16"/>
      <c r="E83" s="16"/>
      <c r="F83" s="17"/>
    </row>
    <row r="84" spans="1:7" x14ac:dyDescent="0.2">
      <c r="A84" s="86"/>
      <c r="B84" s="41"/>
      <c r="C84" s="80"/>
      <c r="D84" s="8"/>
      <c r="E84" s="8"/>
      <c r="F84" s="20"/>
    </row>
    <row r="86" spans="1:7" s="66" customFormat="1" x14ac:dyDescent="0.2">
      <c r="A86" s="29"/>
      <c r="B86" s="29"/>
      <c r="C86" s="97"/>
      <c r="D86" s="96"/>
    </row>
    <row r="88" spans="1:7" ht="15" x14ac:dyDescent="0.25">
      <c r="A88" s="347"/>
      <c r="B88" s="32"/>
      <c r="C88" s="81"/>
      <c r="D88" s="32"/>
      <c r="E88" s="32"/>
      <c r="F88" s="312"/>
      <c r="G88" s="70"/>
    </row>
    <row r="89" spans="1:7" x14ac:dyDescent="0.2">
      <c r="A89" s="5"/>
      <c r="D89" s="16"/>
    </row>
    <row r="90" spans="1:7" x14ac:dyDescent="0.2">
      <c r="A90" s="5"/>
      <c r="D90" s="16"/>
    </row>
    <row r="91" spans="1:7" x14ac:dyDescent="0.2">
      <c r="A91" s="5"/>
      <c r="D91" s="16"/>
    </row>
    <row r="92" spans="1:7" x14ac:dyDescent="0.2">
      <c r="A92" s="5"/>
      <c r="D92" s="16"/>
    </row>
    <row r="93" spans="1:7" x14ac:dyDescent="0.2">
      <c r="A93" s="5"/>
      <c r="D93" s="16"/>
    </row>
    <row r="94" spans="1:7" x14ac:dyDescent="0.2">
      <c r="A94" s="5"/>
      <c r="D94" s="16"/>
    </row>
    <row r="95" spans="1:7" x14ac:dyDescent="0.2">
      <c r="A95" s="5"/>
      <c r="D95" s="16"/>
    </row>
    <row r="96" spans="1:7" x14ac:dyDescent="0.2">
      <c r="A96" s="5"/>
      <c r="D96" s="16"/>
    </row>
    <row r="97" spans="1:7" x14ac:dyDescent="0.2">
      <c r="A97" s="5"/>
      <c r="D97" s="16"/>
    </row>
    <row r="98" spans="1:7" x14ac:dyDescent="0.2">
      <c r="A98" s="5"/>
      <c r="D98" s="16"/>
    </row>
    <row r="99" spans="1:7" x14ac:dyDescent="0.2">
      <c r="A99" s="5"/>
      <c r="D99" s="16"/>
    </row>
    <row r="100" spans="1:7" x14ac:dyDescent="0.2">
      <c r="A100" s="5"/>
      <c r="D100" s="16"/>
    </row>
    <row r="101" spans="1:7" x14ac:dyDescent="0.2">
      <c r="A101" s="5"/>
      <c r="D101" s="16"/>
    </row>
    <row r="103" spans="1:7" x14ac:dyDescent="0.2">
      <c r="A103" s="86"/>
      <c r="B103" s="41"/>
      <c r="C103" s="80"/>
      <c r="D103" s="8"/>
      <c r="E103" s="8"/>
      <c r="F103" s="20"/>
    </row>
    <row r="106" spans="1:7" ht="15" x14ac:dyDescent="0.25">
      <c r="A106" s="347"/>
      <c r="B106" s="32"/>
      <c r="C106" s="81"/>
      <c r="D106" s="32"/>
      <c r="E106" s="32"/>
      <c r="F106" s="312"/>
      <c r="G106" s="70"/>
    </row>
    <row r="107" spans="1:7" x14ac:dyDescent="0.2">
      <c r="A107" s="5"/>
      <c r="D107" s="16"/>
    </row>
    <row r="109" spans="1:7" x14ac:dyDescent="0.2">
      <c r="A109" s="86"/>
      <c r="B109" s="41"/>
      <c r="C109" s="80"/>
      <c r="D109" s="8"/>
      <c r="E109" s="8"/>
      <c r="F109" s="20"/>
    </row>
  </sheetData>
  <pageMargins left="0.7" right="0.7" top="0.75" bottom="0.75" header="0.3" footer="0.3"/>
  <pageSetup paperSize="9" scale="52" orientation="portrait" r:id="rId1"/>
  <headerFooter>
    <oddHeader>&amp;LVERSIE 16-2-2021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40"/>
  <sheetViews>
    <sheetView topLeftCell="B1" zoomScaleNormal="100" zoomScalePageLayoutView="130" workbookViewId="0">
      <selection activeCell="B40" sqref="B40"/>
    </sheetView>
  </sheetViews>
  <sheetFormatPr defaultColWidth="9.140625" defaultRowHeight="12.75" x14ac:dyDescent="0.2"/>
  <cols>
    <col min="1" max="1" width="41" style="188" customWidth="1"/>
    <col min="2" max="2" width="34" style="188" customWidth="1"/>
    <col min="3" max="4" width="9.140625" style="188"/>
    <col min="5" max="5" width="11.140625" style="188" customWidth="1"/>
    <col min="6" max="6" width="17.28515625" style="188" customWidth="1"/>
    <col min="7" max="7" width="17.42578125" style="188" bestFit="1" customWidth="1"/>
    <col min="8" max="16384" width="9.140625" style="188"/>
  </cols>
  <sheetData>
    <row r="3" spans="1:6" ht="15.75" x14ac:dyDescent="0.2">
      <c r="A3" s="208" t="s">
        <v>6</v>
      </c>
      <c r="B3" s="209" t="s">
        <v>152</v>
      </c>
    </row>
    <row r="4" spans="1:6" ht="15.75" x14ac:dyDescent="0.2">
      <c r="A4" s="208"/>
    </row>
    <row r="5" spans="1:6" x14ac:dyDescent="0.2">
      <c r="A5" s="123" t="s">
        <v>8</v>
      </c>
      <c r="B5" s="124">
        <v>3.262</v>
      </c>
    </row>
    <row r="6" spans="1:6" x14ac:dyDescent="0.2">
      <c r="C6" s="207"/>
    </row>
    <row r="7" spans="1:6" x14ac:dyDescent="0.2">
      <c r="A7" s="206"/>
      <c r="B7" s="205" t="s">
        <v>9</v>
      </c>
      <c r="C7" s="204" t="s">
        <v>10</v>
      </c>
    </row>
    <row r="8" spans="1:6" x14ac:dyDescent="0.2">
      <c r="A8" s="203" t="s">
        <v>153</v>
      </c>
      <c r="B8" s="202">
        <f>C25</f>
        <v>37042.870000000003</v>
      </c>
      <c r="C8" s="201">
        <f>B8*B5</f>
        <v>120833.84194000001</v>
      </c>
    </row>
    <row r="9" spans="1:6" x14ac:dyDescent="0.2">
      <c r="A9" s="200"/>
      <c r="B9" s="199"/>
      <c r="C9" s="198"/>
    </row>
    <row r="10" spans="1:6" x14ac:dyDescent="0.2">
      <c r="A10" s="197" t="s">
        <v>12</v>
      </c>
      <c r="B10" s="196">
        <f>B8</f>
        <v>37042.870000000003</v>
      </c>
      <c r="C10" s="195">
        <f>C8</f>
        <v>120833.84194000001</v>
      </c>
    </row>
    <row r="12" spans="1:6" ht="15" x14ac:dyDescent="0.2">
      <c r="A12" s="194" t="s">
        <v>154</v>
      </c>
      <c r="B12" s="193" t="s">
        <v>24</v>
      </c>
      <c r="C12" s="192" t="s">
        <v>9</v>
      </c>
      <c r="D12" s="192" t="s">
        <v>10</v>
      </c>
      <c r="E12" s="365" t="s">
        <v>69</v>
      </c>
      <c r="F12" s="365" t="s">
        <v>182</v>
      </c>
    </row>
    <row r="13" spans="1:6" x14ac:dyDescent="0.2">
      <c r="A13" s="323" t="s">
        <v>70</v>
      </c>
      <c r="B13" s="324" t="s">
        <v>155</v>
      </c>
      <c r="C13" s="325">
        <v>9625.3799999999992</v>
      </c>
      <c r="D13" s="343">
        <f>C13*B5</f>
        <v>31397.989559999998</v>
      </c>
      <c r="E13" s="326">
        <v>36229</v>
      </c>
      <c r="F13" s="366">
        <f>D13/E13</f>
        <v>0.8666534974743989</v>
      </c>
    </row>
    <row r="14" spans="1:6" x14ac:dyDescent="0.2">
      <c r="A14" s="323" t="s">
        <v>156</v>
      </c>
      <c r="B14" s="324" t="s">
        <v>155</v>
      </c>
      <c r="C14" s="325">
        <f>98.89+158.73</f>
        <v>257.62</v>
      </c>
      <c r="D14" s="343">
        <f>C14*B5</f>
        <v>840.35644000000002</v>
      </c>
      <c r="E14" s="326"/>
      <c r="F14" s="366"/>
    </row>
    <row r="15" spans="1:6" x14ac:dyDescent="0.2">
      <c r="A15" s="323" t="s">
        <v>157</v>
      </c>
      <c r="B15" s="324" t="s">
        <v>155</v>
      </c>
      <c r="C15" s="325">
        <v>1702.68</v>
      </c>
      <c r="D15" s="343">
        <f>C15*B5</f>
        <v>5554.1421600000003</v>
      </c>
      <c r="E15" s="326">
        <v>21949</v>
      </c>
      <c r="F15" s="366">
        <f t="shared" ref="F15:F23" si="0">D15/E15</f>
        <v>0.25304761765911887</v>
      </c>
    </row>
    <row r="16" spans="1:6" x14ac:dyDescent="0.2">
      <c r="A16" s="323" t="s">
        <v>158</v>
      </c>
      <c r="B16" s="324" t="s">
        <v>155</v>
      </c>
      <c r="C16" s="325">
        <v>6258.78</v>
      </c>
      <c r="D16" s="343">
        <f>C16*B5</f>
        <v>20416.140359999998</v>
      </c>
      <c r="E16" s="326">
        <v>26876.600000000006</v>
      </c>
      <c r="F16" s="366">
        <f t="shared" si="0"/>
        <v>0.75962511478386374</v>
      </c>
    </row>
    <row r="17" spans="1:7" x14ac:dyDescent="0.2">
      <c r="A17" s="323" t="s">
        <v>75</v>
      </c>
      <c r="B17" s="324" t="s">
        <v>155</v>
      </c>
      <c r="C17" s="327">
        <v>2088.71</v>
      </c>
      <c r="D17" s="345">
        <f>C17*B5</f>
        <v>6813.3720199999998</v>
      </c>
      <c r="E17" s="326">
        <v>27584</v>
      </c>
      <c r="F17" s="366">
        <f t="shared" si="0"/>
        <v>0.24700449608468678</v>
      </c>
    </row>
    <row r="18" spans="1:7" x14ac:dyDescent="0.2">
      <c r="A18" s="323" t="s">
        <v>77</v>
      </c>
      <c r="B18" s="324" t="s">
        <v>155</v>
      </c>
      <c r="C18" s="327">
        <v>1774.78</v>
      </c>
      <c r="D18" s="345">
        <f>C18*B5</f>
        <v>5789.3323600000003</v>
      </c>
      <c r="E18" s="326">
        <v>29453</v>
      </c>
      <c r="F18" s="366">
        <f t="shared" si="0"/>
        <v>0.196561720707568</v>
      </c>
    </row>
    <row r="19" spans="1:7" x14ac:dyDescent="0.2">
      <c r="A19" s="323" t="s">
        <v>80</v>
      </c>
      <c r="B19" s="324" t="s">
        <v>155</v>
      </c>
      <c r="C19" s="327">
        <v>1772.08</v>
      </c>
      <c r="D19" s="345">
        <f>C19*B5</f>
        <v>5780.5249599999997</v>
      </c>
      <c r="E19" s="326">
        <v>28555</v>
      </c>
      <c r="F19" s="366">
        <f t="shared" si="0"/>
        <v>0.20243477359481701</v>
      </c>
    </row>
    <row r="20" spans="1:7" x14ac:dyDescent="0.2">
      <c r="A20" s="323" t="s">
        <v>159</v>
      </c>
      <c r="B20" s="324" t="s">
        <v>155</v>
      </c>
      <c r="C20" s="327">
        <v>849.95</v>
      </c>
      <c r="D20" s="345">
        <f>C20*B5</f>
        <v>2772.5369000000001</v>
      </c>
      <c r="E20" s="326">
        <v>5678</v>
      </c>
      <c r="F20" s="366">
        <f t="shared" si="0"/>
        <v>0.48829462839027826</v>
      </c>
    </row>
    <row r="21" spans="1:7" x14ac:dyDescent="0.2">
      <c r="A21" s="323" t="s">
        <v>160</v>
      </c>
      <c r="B21" s="324" t="s">
        <v>155</v>
      </c>
      <c r="C21" s="327">
        <v>7798.5</v>
      </c>
      <c r="D21" s="345">
        <f>C21*B5</f>
        <v>25438.706999999999</v>
      </c>
      <c r="E21" s="326">
        <v>23843</v>
      </c>
      <c r="F21" s="366">
        <f t="shared" si="0"/>
        <v>1.0669255966111646</v>
      </c>
    </row>
    <row r="22" spans="1:7" x14ac:dyDescent="0.2">
      <c r="A22" s="323" t="s">
        <v>161</v>
      </c>
      <c r="B22" s="324" t="s">
        <v>155</v>
      </c>
      <c r="C22" s="327">
        <f>987.35+698.5</f>
        <v>1685.85</v>
      </c>
      <c r="D22" s="345">
        <f>C22*B5</f>
        <v>5499.2426999999998</v>
      </c>
      <c r="E22" s="326">
        <v>26370</v>
      </c>
      <c r="F22" s="366">
        <f t="shared" si="0"/>
        <v>0.20854162684869168</v>
      </c>
      <c r="G22" s="355"/>
    </row>
    <row r="23" spans="1:7" x14ac:dyDescent="0.2">
      <c r="A23" s="323" t="s">
        <v>124</v>
      </c>
      <c r="B23" s="324" t="s">
        <v>155</v>
      </c>
      <c r="C23" s="327">
        <v>3228.54</v>
      </c>
      <c r="D23" s="345">
        <f>C23*B5</f>
        <v>10531.49748</v>
      </c>
      <c r="E23" s="326">
        <v>23589</v>
      </c>
      <c r="F23" s="366">
        <f t="shared" si="0"/>
        <v>0.44645798804527537</v>
      </c>
    </row>
    <row r="24" spans="1:7" x14ac:dyDescent="0.2">
      <c r="A24" s="323"/>
      <c r="B24" s="324"/>
      <c r="C24" s="327"/>
      <c r="D24" s="345"/>
      <c r="E24" s="326"/>
      <c r="F24" s="326"/>
    </row>
    <row r="25" spans="1:7" x14ac:dyDescent="0.2">
      <c r="A25" s="328" t="s">
        <v>162</v>
      </c>
      <c r="B25" s="329"/>
      <c r="C25" s="330">
        <f>SUM(C13:C23)</f>
        <v>37042.870000000003</v>
      </c>
      <c r="D25" s="330">
        <f t="shared" ref="D25:E25" si="1">SUM(D13:D23)</f>
        <v>120833.84194000001</v>
      </c>
      <c r="E25" s="331">
        <f t="shared" si="1"/>
        <v>250126.6</v>
      </c>
    </row>
    <row r="26" spans="1:7" x14ac:dyDescent="0.2">
      <c r="A26" s="328" t="s">
        <v>190</v>
      </c>
      <c r="B26" s="324"/>
      <c r="C26" s="327"/>
      <c r="D26" s="345"/>
      <c r="E26" s="326"/>
      <c r="F26" s="395">
        <f>SUM(F13:F23)/10</f>
        <v>0.47355470601998634</v>
      </c>
    </row>
    <row r="28" spans="1:7" ht="15" x14ac:dyDescent="0.2">
      <c r="A28" s="194" t="s">
        <v>163</v>
      </c>
      <c r="B28" s="193" t="s">
        <v>24</v>
      </c>
      <c r="C28" s="192" t="s">
        <v>9</v>
      </c>
      <c r="D28" s="192" t="s">
        <v>10</v>
      </c>
      <c r="E28" s="192" t="s">
        <v>69</v>
      </c>
    </row>
    <row r="29" spans="1:7" x14ac:dyDescent="0.2">
      <c r="A29" s="323" t="s">
        <v>164</v>
      </c>
      <c r="B29" s="329"/>
      <c r="C29" s="325"/>
      <c r="D29" s="343"/>
      <c r="E29" s="332"/>
    </row>
    <row r="30" spans="1:7" x14ac:dyDescent="0.2">
      <c r="A30" s="323"/>
      <c r="B30" s="329"/>
      <c r="C30" s="327"/>
      <c r="D30" s="345"/>
      <c r="E30" s="332"/>
    </row>
    <row r="31" spans="1:7" x14ac:dyDescent="0.2">
      <c r="A31" s="323"/>
      <c r="B31" s="329"/>
      <c r="C31" s="327"/>
      <c r="D31" s="345"/>
      <c r="E31" s="332"/>
    </row>
    <row r="32" spans="1:7" x14ac:dyDescent="0.2">
      <c r="A32" s="323"/>
      <c r="B32" s="329"/>
      <c r="C32" s="327"/>
      <c r="D32" s="345"/>
      <c r="E32" s="332"/>
    </row>
    <row r="33" spans="1:5" x14ac:dyDescent="0.2">
      <c r="A33" s="323"/>
      <c r="B33" s="329"/>
      <c r="C33" s="327"/>
      <c r="D33" s="345"/>
      <c r="E33" s="332"/>
    </row>
    <row r="34" spans="1:5" x14ac:dyDescent="0.2">
      <c r="A34" s="323"/>
      <c r="B34" s="329"/>
      <c r="C34" s="327"/>
      <c r="D34" s="345"/>
      <c r="E34" s="332"/>
    </row>
    <row r="35" spans="1:5" x14ac:dyDescent="0.2">
      <c r="A35" s="323"/>
      <c r="B35" s="329"/>
      <c r="C35" s="327"/>
      <c r="D35" s="345"/>
      <c r="E35" s="332"/>
    </row>
    <row r="36" spans="1:5" x14ac:dyDescent="0.2">
      <c r="A36" s="207"/>
      <c r="B36" s="302"/>
      <c r="C36" s="303"/>
      <c r="D36" s="303"/>
      <c r="E36" s="191"/>
    </row>
    <row r="37" spans="1:5" x14ac:dyDescent="0.2">
      <c r="A37" s="207"/>
      <c r="B37" s="302"/>
      <c r="C37" s="303"/>
      <c r="D37" s="303"/>
      <c r="E37" s="191"/>
    </row>
    <row r="38" spans="1:5" ht="14.25" x14ac:dyDescent="0.2">
      <c r="A38" s="190" t="s">
        <v>97</v>
      </c>
      <c r="B38" s="356">
        <f>E25</f>
        <v>250126.6</v>
      </c>
    </row>
    <row r="39" spans="1:5" x14ac:dyDescent="0.2">
      <c r="A39" s="190" t="s">
        <v>128</v>
      </c>
      <c r="B39" s="189">
        <f>E25/C25</f>
        <v>6.7523547716470134</v>
      </c>
    </row>
    <row r="40" spans="1:5" x14ac:dyDescent="0.2">
      <c r="A40" s="190"/>
      <c r="B40" s="189"/>
    </row>
  </sheetData>
  <pageMargins left="0.7" right="0.7" top="0.75" bottom="0.75" header="0.3" footer="0.3"/>
  <pageSetup paperSize="9" orientation="portrait" r:id="rId1"/>
  <headerFooter>
    <oddHeader>&amp;LVERSIE 16-2-2021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8"/>
  <sheetViews>
    <sheetView topLeftCell="A5" zoomScaleNormal="100" zoomScalePageLayoutView="110" workbookViewId="0">
      <selection activeCell="A24" sqref="A24:XFD24"/>
    </sheetView>
  </sheetViews>
  <sheetFormatPr defaultColWidth="8.85546875" defaultRowHeight="12.75" x14ac:dyDescent="0.2"/>
  <cols>
    <col min="1" max="1" width="26.7109375" style="223" bestFit="1" customWidth="1"/>
    <col min="2" max="2" width="33.85546875" style="223" customWidth="1"/>
    <col min="3" max="3" width="11.7109375" style="223" customWidth="1"/>
    <col min="4" max="4" width="12.42578125" style="223" customWidth="1"/>
    <col min="5" max="5" width="12.7109375" style="223" customWidth="1"/>
    <col min="6" max="6" width="11.42578125" style="223" customWidth="1"/>
    <col min="7" max="16384" width="8.85546875" style="223"/>
  </cols>
  <sheetData>
    <row r="2" spans="1:6" ht="15.75" x14ac:dyDescent="0.25">
      <c r="A2" s="245" t="s">
        <v>22</v>
      </c>
      <c r="B2" s="244" t="s">
        <v>152</v>
      </c>
    </row>
    <row r="3" spans="1:6" x14ac:dyDescent="0.2">
      <c r="A3" s="243"/>
      <c r="B3" s="9"/>
    </row>
    <row r="4" spans="1:6" x14ac:dyDescent="0.2">
      <c r="A4" s="10" t="s">
        <v>8</v>
      </c>
      <c r="B4" s="11">
        <v>2.7839999999999998</v>
      </c>
      <c r="C4" s="226"/>
    </row>
    <row r="5" spans="1:6" ht="15" x14ac:dyDescent="0.2">
      <c r="A5" s="10"/>
      <c r="B5" s="351"/>
      <c r="D5" s="351"/>
    </row>
    <row r="7" spans="1:6" x14ac:dyDescent="0.2">
      <c r="A7" s="242"/>
      <c r="B7" s="241" t="s">
        <v>9</v>
      </c>
      <c r="C7" s="240" t="s">
        <v>10</v>
      </c>
    </row>
    <row r="8" spans="1:6" x14ac:dyDescent="0.2">
      <c r="A8" s="237" t="s">
        <v>86</v>
      </c>
      <c r="B8" s="239">
        <f>C16+C28</f>
        <v>8740.5600000000013</v>
      </c>
      <c r="C8" s="238">
        <f>B8*B4</f>
        <v>24333.719040000004</v>
      </c>
    </row>
    <row r="9" spans="1:6" x14ac:dyDescent="0.2">
      <c r="A9" s="237" t="s">
        <v>87</v>
      </c>
      <c r="B9" s="239"/>
      <c r="C9" s="238">
        <f>E33</f>
        <v>1145.46</v>
      </c>
    </row>
    <row r="10" spans="1:6" x14ac:dyDescent="0.2">
      <c r="A10" s="237"/>
      <c r="B10" s="236"/>
      <c r="C10" s="235"/>
    </row>
    <row r="11" spans="1:6" x14ac:dyDescent="0.2">
      <c r="A11" s="234" t="s">
        <v>12</v>
      </c>
      <c r="B11" s="233">
        <f>B8+ B9</f>
        <v>8740.5600000000013</v>
      </c>
      <c r="C11" s="232">
        <f>C8+C9</f>
        <v>25479.179040000003</v>
      </c>
    </row>
    <row r="13" spans="1:6" x14ac:dyDescent="0.2">
      <c r="A13" s="231" t="s">
        <v>88</v>
      </c>
    </row>
    <row r="14" spans="1:6" ht="38.25" x14ac:dyDescent="0.2">
      <c r="A14" s="344" t="s">
        <v>165</v>
      </c>
      <c r="B14" s="364" t="s">
        <v>24</v>
      </c>
      <c r="C14" s="363" t="s">
        <v>9</v>
      </c>
      <c r="D14" s="363" t="s">
        <v>10</v>
      </c>
      <c r="E14" s="363" t="s">
        <v>69</v>
      </c>
      <c r="F14" s="367" t="s">
        <v>182</v>
      </c>
    </row>
    <row r="15" spans="1:6" x14ac:dyDescent="0.2">
      <c r="A15" s="324" t="s">
        <v>167</v>
      </c>
      <c r="B15" s="324" t="s">
        <v>155</v>
      </c>
      <c r="C15" s="333">
        <v>467.62</v>
      </c>
      <c r="D15" s="333">
        <f>C15*$B4</f>
        <v>1301.8540799999998</v>
      </c>
      <c r="E15" s="334">
        <v>3350</v>
      </c>
      <c r="F15" s="373">
        <f>D15/E15</f>
        <v>0.3886131582089552</v>
      </c>
    </row>
    <row r="16" spans="1:6" x14ac:dyDescent="0.2">
      <c r="A16" s="328" t="s">
        <v>162</v>
      </c>
      <c r="B16" s="328"/>
      <c r="C16" s="335">
        <f>C15</f>
        <v>467.62</v>
      </c>
      <c r="D16" s="335">
        <f t="shared" ref="D16:E16" si="0">D15</f>
        <v>1301.8540799999998</v>
      </c>
      <c r="E16" s="335">
        <f t="shared" si="0"/>
        <v>3350</v>
      </c>
      <c r="F16" s="374"/>
    </row>
    <row r="17" spans="1:7" x14ac:dyDescent="0.2">
      <c r="A17" s="328" t="s">
        <v>190</v>
      </c>
      <c r="B17" s="328"/>
      <c r="C17" s="335"/>
      <c r="D17" s="335"/>
      <c r="E17" s="335"/>
      <c r="F17" s="376">
        <f>F15/1</f>
        <v>0.3886131582089552</v>
      </c>
    </row>
    <row r="18" spans="1:7" x14ac:dyDescent="0.2">
      <c r="A18" s="324"/>
      <c r="B18" s="324"/>
      <c r="C18" s="333"/>
      <c r="D18" s="333"/>
      <c r="E18" s="336"/>
      <c r="F18" s="230"/>
    </row>
    <row r="19" spans="1:7" ht="38.25" x14ac:dyDescent="0.2">
      <c r="A19" s="364" t="s">
        <v>168</v>
      </c>
      <c r="B19" s="364" t="s">
        <v>24</v>
      </c>
      <c r="C19" s="363" t="s">
        <v>9</v>
      </c>
      <c r="D19" s="367" t="s">
        <v>10</v>
      </c>
      <c r="E19" s="360" t="s">
        <v>69</v>
      </c>
      <c r="F19" s="367" t="s">
        <v>182</v>
      </c>
    </row>
    <row r="20" spans="1:7" x14ac:dyDescent="0.2">
      <c r="A20" s="324" t="s">
        <v>91</v>
      </c>
      <c r="B20" s="324" t="s">
        <v>155</v>
      </c>
      <c r="C20" s="333">
        <v>1024.47</v>
      </c>
      <c r="D20" s="333">
        <f>C20*B4</f>
        <v>2852.1244799999999</v>
      </c>
      <c r="E20" s="337">
        <v>11026</v>
      </c>
      <c r="F20" s="368">
        <f>D20/E20</f>
        <v>0.25867263558860876</v>
      </c>
    </row>
    <row r="21" spans="1:7" x14ac:dyDescent="0.2">
      <c r="A21" s="324" t="s">
        <v>166</v>
      </c>
      <c r="B21" s="324" t="s">
        <v>155</v>
      </c>
      <c r="C21" s="333">
        <v>709.86</v>
      </c>
      <c r="D21" s="333">
        <f>C21*$B4</f>
        <v>1976.2502399999998</v>
      </c>
      <c r="E21" s="334">
        <v>16547</v>
      </c>
      <c r="F21" s="368">
        <f>D21/E21</f>
        <v>0.11943254003746902</v>
      </c>
    </row>
    <row r="22" spans="1:7" x14ac:dyDescent="0.2">
      <c r="A22" s="324" t="s">
        <v>95</v>
      </c>
      <c r="B22" s="324" t="s">
        <v>155</v>
      </c>
      <c r="C22" s="333">
        <v>1204.48</v>
      </c>
      <c r="D22" s="333">
        <f>C22*B4</f>
        <v>3353.27232</v>
      </c>
      <c r="E22" s="337">
        <v>16547</v>
      </c>
      <c r="F22" s="368">
        <f t="shared" ref="F22:F27" si="1">D22/E22</f>
        <v>0.20265137608025624</v>
      </c>
    </row>
    <row r="23" spans="1:7" x14ac:dyDescent="0.2">
      <c r="A23" s="324" t="s">
        <v>92</v>
      </c>
      <c r="B23" s="324" t="s">
        <v>155</v>
      </c>
      <c r="C23" s="333">
        <v>891.58</v>
      </c>
      <c r="D23" s="333">
        <f>C23*B4</f>
        <v>2482.1587199999999</v>
      </c>
      <c r="E23" s="337">
        <v>17039</v>
      </c>
      <c r="F23" s="368">
        <f t="shared" si="1"/>
        <v>0.145675140559892</v>
      </c>
      <c r="G23" s="226"/>
    </row>
    <row r="24" spans="1:7" x14ac:dyDescent="0.2">
      <c r="A24" s="324" t="s">
        <v>90</v>
      </c>
      <c r="B24" s="324" t="s">
        <v>155</v>
      </c>
      <c r="C24" s="333">
        <v>3053.5</v>
      </c>
      <c r="D24" s="333">
        <f>C24*B4</f>
        <v>8500.9439999999995</v>
      </c>
      <c r="E24" s="337">
        <v>36495</v>
      </c>
      <c r="F24" s="368">
        <f t="shared" si="1"/>
        <v>0.2329344841759145</v>
      </c>
    </row>
    <row r="25" spans="1:7" x14ac:dyDescent="0.2">
      <c r="A25" s="324" t="s">
        <v>125</v>
      </c>
      <c r="B25" s="324" t="s">
        <v>155</v>
      </c>
      <c r="C25" s="304">
        <v>504.77</v>
      </c>
      <c r="D25" s="333">
        <f>C25*B4</f>
        <v>1405.2796799999999</v>
      </c>
      <c r="E25" s="337">
        <v>3409</v>
      </c>
      <c r="F25" s="368">
        <f t="shared" si="1"/>
        <v>0.41222636550308006</v>
      </c>
    </row>
    <row r="26" spans="1:7" x14ac:dyDescent="0.2">
      <c r="A26" s="130" t="s">
        <v>169</v>
      </c>
      <c r="B26" s="324" t="s">
        <v>155</v>
      </c>
      <c r="C26" s="305">
        <v>762.52</v>
      </c>
      <c r="D26" s="333">
        <f>C26*B4</f>
        <v>2122.8556799999997</v>
      </c>
      <c r="E26" s="338">
        <v>11118</v>
      </c>
      <c r="F26" s="368">
        <f t="shared" si="1"/>
        <v>0.19093862924986504</v>
      </c>
    </row>
    <row r="27" spans="1:7" x14ac:dyDescent="0.2">
      <c r="A27" s="130" t="s">
        <v>170</v>
      </c>
      <c r="B27" s="324" t="s">
        <v>155</v>
      </c>
      <c r="C27" s="171">
        <v>121.76</v>
      </c>
      <c r="D27" s="333">
        <f>C27*B4</f>
        <v>338.97983999999997</v>
      </c>
      <c r="E27" s="337">
        <v>2867</v>
      </c>
      <c r="F27" s="368">
        <f t="shared" si="1"/>
        <v>0.11823503313568189</v>
      </c>
    </row>
    <row r="28" spans="1:7" x14ac:dyDescent="0.2">
      <c r="A28" s="339" t="s">
        <v>171</v>
      </c>
      <c r="B28" s="340"/>
      <c r="C28" s="341">
        <f>SUM(C20:C27)</f>
        <v>8272.94</v>
      </c>
      <c r="D28" s="341">
        <f>SUM(D20:D27)</f>
        <v>23031.864959999999</v>
      </c>
      <c r="E28" s="342">
        <f>SUM(E20:E27)</f>
        <v>115048</v>
      </c>
      <c r="F28" s="374"/>
    </row>
    <row r="29" spans="1:7" x14ac:dyDescent="0.2">
      <c r="A29" s="339" t="s">
        <v>190</v>
      </c>
      <c r="B29" s="340"/>
      <c r="C29" s="341"/>
      <c r="D29" s="341"/>
      <c r="E29" s="342"/>
      <c r="F29" s="375">
        <f>SUM(F20:F27)/8</f>
        <v>0.21009577554134592</v>
      </c>
    </row>
    <row r="30" spans="1:7" x14ac:dyDescent="0.2">
      <c r="F30" s="230"/>
    </row>
    <row r="31" spans="1:7" ht="25.5" x14ac:dyDescent="0.2">
      <c r="A31" s="229" t="s">
        <v>98</v>
      </c>
      <c r="E31" s="224"/>
      <c r="F31" s="224"/>
    </row>
    <row r="32" spans="1:7" ht="38.25" x14ac:dyDescent="0.2">
      <c r="A32" s="364" t="s">
        <v>178</v>
      </c>
      <c r="B32" s="364" t="s">
        <v>24</v>
      </c>
      <c r="C32" s="354" t="s">
        <v>179</v>
      </c>
      <c r="D32" s="361" t="s">
        <v>180</v>
      </c>
      <c r="E32" s="360" t="s">
        <v>130</v>
      </c>
      <c r="F32" s="224"/>
    </row>
    <row r="33" spans="1:6" ht="25.5" x14ac:dyDescent="0.2">
      <c r="A33" s="324" t="s">
        <v>177</v>
      </c>
      <c r="B33" s="324" t="s">
        <v>172</v>
      </c>
      <c r="C33" s="352">
        <v>5615</v>
      </c>
      <c r="D33" s="353">
        <v>0.20399999999999999</v>
      </c>
      <c r="E33" s="362">
        <f>C33*D33</f>
        <v>1145.46</v>
      </c>
      <c r="F33" s="228"/>
    </row>
    <row r="34" spans="1:6" x14ac:dyDescent="0.2">
      <c r="E34" s="224"/>
      <c r="F34" s="224"/>
    </row>
    <row r="35" spans="1:6" ht="14.25" x14ac:dyDescent="0.2">
      <c r="A35" s="369">
        <f>C33+E28+E16</f>
        <v>124013</v>
      </c>
      <c r="B35" s="227"/>
      <c r="E35" s="224"/>
      <c r="F35" s="224"/>
    </row>
    <row r="36" spans="1:6" x14ac:dyDescent="0.2">
      <c r="A36" s="226"/>
      <c r="B36" s="225"/>
      <c r="E36" s="224"/>
      <c r="F36" s="224"/>
    </row>
    <row r="37" spans="1:6" x14ac:dyDescent="0.2">
      <c r="A37" s="226"/>
      <c r="B37" s="225"/>
      <c r="E37" s="224"/>
      <c r="F37" s="224"/>
    </row>
    <row r="38" spans="1:6" x14ac:dyDescent="0.2">
      <c r="E38" s="224"/>
      <c r="F38" s="224"/>
    </row>
  </sheetData>
  <pageMargins left="0.7" right="0.7" top="0.75" bottom="0.75" header="0.3" footer="0.3"/>
  <pageSetup paperSize="9" orientation="portrait" r:id="rId1"/>
  <headerFooter>
    <oddHeader>&amp;LVERSIE 16-2-2021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zoomScaleNormal="100" workbookViewId="0">
      <selection activeCell="F3" sqref="F3"/>
    </sheetView>
  </sheetViews>
  <sheetFormatPr defaultColWidth="8.85546875" defaultRowHeight="12.75" x14ac:dyDescent="0.2"/>
  <cols>
    <col min="1" max="1" width="20" style="246" customWidth="1"/>
    <col min="2" max="2" width="20.140625" style="246" bestFit="1" customWidth="1"/>
    <col min="3" max="3" width="19" style="246" customWidth="1"/>
    <col min="4" max="4" width="15" style="246" customWidth="1"/>
    <col min="5" max="5" width="13.85546875" style="246" bestFit="1" customWidth="1"/>
    <col min="6" max="6" width="8.85546875" style="246"/>
    <col min="7" max="7" width="9.7109375" style="246" bestFit="1" customWidth="1"/>
    <col min="8" max="16384" width="8.85546875" style="246"/>
  </cols>
  <sheetData>
    <row r="1" spans="1:8" s="262" customFormat="1" ht="25.5" x14ac:dyDescent="0.2">
      <c r="A1" s="377" t="s">
        <v>105</v>
      </c>
      <c r="B1" s="378" t="s">
        <v>30</v>
      </c>
      <c r="C1" s="378" t="s">
        <v>173</v>
      </c>
      <c r="D1" s="379" t="s">
        <v>8</v>
      </c>
      <c r="E1" s="378" t="s">
        <v>10</v>
      </c>
      <c r="F1" s="378" t="s">
        <v>187</v>
      </c>
      <c r="G1" s="380" t="s">
        <v>188</v>
      </c>
    </row>
    <row r="2" spans="1:8" x14ac:dyDescent="0.2">
      <c r="A2" s="267" t="s">
        <v>106</v>
      </c>
      <c r="B2" s="266">
        <f>E26</f>
        <v>8529.9660000000022</v>
      </c>
      <c r="C2" s="260" t="s">
        <v>32</v>
      </c>
      <c r="D2" s="260">
        <v>0</v>
      </c>
      <c r="E2" s="381">
        <f>B2*D2</f>
        <v>0</v>
      </c>
      <c r="F2" s="387" t="s">
        <v>191</v>
      </c>
      <c r="G2" s="390" t="s">
        <v>191</v>
      </c>
    </row>
    <row r="3" spans="1:8" s="262" customFormat="1" ht="25.5" x14ac:dyDescent="0.2">
      <c r="A3" s="265" t="s">
        <v>107</v>
      </c>
      <c r="B3" s="264">
        <v>4581.6220000000003</v>
      </c>
      <c r="C3" s="263" t="s">
        <v>32</v>
      </c>
      <c r="D3" s="263">
        <v>0.52300000000000002</v>
      </c>
      <c r="E3" s="382">
        <f>B3*D3</f>
        <v>2396.1883060000005</v>
      </c>
      <c r="F3" s="386">
        <v>22652</v>
      </c>
      <c r="G3" s="391">
        <f>E3/F3</f>
        <v>0.10578263755959741</v>
      </c>
    </row>
    <row r="4" spans="1:8" s="262" customFormat="1" ht="25.5" x14ac:dyDescent="0.2">
      <c r="A4" s="265" t="s">
        <v>174</v>
      </c>
      <c r="B4" s="264">
        <v>536.1</v>
      </c>
      <c r="C4" s="263" t="s">
        <v>32</v>
      </c>
      <c r="D4" s="263">
        <v>0.52300000000000002</v>
      </c>
      <c r="E4" s="382">
        <f>B4*D4</f>
        <v>280.38030000000003</v>
      </c>
      <c r="F4" s="388" t="s">
        <v>191</v>
      </c>
      <c r="G4" s="392" t="s">
        <v>191</v>
      </c>
    </row>
    <row r="5" spans="1:8" x14ac:dyDescent="0.2">
      <c r="A5" s="261"/>
      <c r="B5" s="257"/>
      <c r="C5" s="260"/>
      <c r="D5" s="260"/>
      <c r="E5" s="383"/>
      <c r="G5" s="393"/>
    </row>
    <row r="6" spans="1:8" s="259" customFormat="1" ht="25.5" x14ac:dyDescent="0.2">
      <c r="A6" s="384" t="s">
        <v>108</v>
      </c>
      <c r="B6" s="385">
        <f>SUM(B2:B4)</f>
        <v>13647.688000000004</v>
      </c>
      <c r="C6" s="385" t="s">
        <v>32</v>
      </c>
      <c r="D6" s="385"/>
      <c r="E6" s="385">
        <f>SUM(E2:E4)</f>
        <v>2676.5686060000007</v>
      </c>
      <c r="F6" s="389" t="s">
        <v>191</v>
      </c>
      <c r="G6" s="389" t="s">
        <v>191</v>
      </c>
    </row>
    <row r="7" spans="1:8" x14ac:dyDescent="0.2">
      <c r="A7" s="258"/>
      <c r="B7" s="257"/>
      <c r="C7" s="258"/>
      <c r="D7" s="258"/>
      <c r="E7" s="257"/>
    </row>
    <row r="8" spans="1:8" x14ac:dyDescent="0.2">
      <c r="A8" s="258"/>
      <c r="B8" s="257"/>
      <c r="C8" s="258"/>
      <c r="D8" s="258"/>
      <c r="E8" s="257"/>
    </row>
    <row r="9" spans="1:8" ht="51" x14ac:dyDescent="0.2">
      <c r="A9" s="139" t="s">
        <v>109</v>
      </c>
      <c r="B9" s="256" t="s">
        <v>110</v>
      </c>
      <c r="C9" s="255"/>
    </row>
    <row r="10" spans="1:8" x14ac:dyDescent="0.2">
      <c r="A10" s="247" t="s">
        <v>33</v>
      </c>
      <c r="B10" s="253">
        <v>2021</v>
      </c>
    </row>
    <row r="11" spans="1:8" ht="25.5" x14ac:dyDescent="0.2">
      <c r="A11" s="249" t="s">
        <v>34</v>
      </c>
      <c r="B11" s="249" t="s">
        <v>35</v>
      </c>
      <c r="C11" s="254" t="s">
        <v>36</v>
      </c>
      <c r="D11" s="249" t="s">
        <v>37</v>
      </c>
      <c r="E11" s="249"/>
      <c r="F11" s="249"/>
      <c r="H11" s="253"/>
    </row>
    <row r="12" spans="1:8" x14ac:dyDescent="0.2">
      <c r="A12" s="101">
        <v>44197</v>
      </c>
      <c r="B12">
        <v>685.02099999999996</v>
      </c>
      <c r="C12">
        <v>-158.66999999999999</v>
      </c>
      <c r="D12" s="252"/>
    </row>
    <row r="13" spans="1:8" x14ac:dyDescent="0.2">
      <c r="A13" s="101">
        <v>44228</v>
      </c>
      <c r="B13">
        <v>463.80900000000003</v>
      </c>
      <c r="C13">
        <v>-645.02600000000007</v>
      </c>
      <c r="D13" s="252"/>
    </row>
    <row r="14" spans="1:8" x14ac:dyDescent="0.2">
      <c r="A14" s="101">
        <v>44256</v>
      </c>
      <c r="B14">
        <v>352.416</v>
      </c>
      <c r="C14">
        <v>-1300.175</v>
      </c>
      <c r="D14" s="252"/>
    </row>
    <row r="15" spans="1:8" x14ac:dyDescent="0.2">
      <c r="A15" s="101">
        <v>44287</v>
      </c>
      <c r="B15">
        <v>269.49799999999999</v>
      </c>
      <c r="C15">
        <v>-2389.183</v>
      </c>
      <c r="D15" s="252"/>
    </row>
    <row r="16" spans="1:8" x14ac:dyDescent="0.2">
      <c r="A16" s="101">
        <v>44317</v>
      </c>
      <c r="B16">
        <v>261.24099999999999</v>
      </c>
      <c r="C16">
        <v>-2608.5259999999998</v>
      </c>
      <c r="D16" s="252"/>
    </row>
    <row r="17" spans="1:5" x14ac:dyDescent="0.2">
      <c r="A17" s="101">
        <v>44348</v>
      </c>
      <c r="B17">
        <v>259.98900000000003</v>
      </c>
      <c r="C17">
        <v>-3086.7579999999998</v>
      </c>
      <c r="D17" s="252"/>
    </row>
    <row r="18" spans="1:5" x14ac:dyDescent="0.2">
      <c r="A18" s="101">
        <v>44378</v>
      </c>
      <c r="B18">
        <v>291.80900000000003</v>
      </c>
      <c r="C18">
        <v>-2547.7460000000001</v>
      </c>
      <c r="D18" s="252"/>
    </row>
    <row r="19" spans="1:5" x14ac:dyDescent="0.2">
      <c r="A19" s="101">
        <v>44409</v>
      </c>
      <c r="B19">
        <v>371.30400000000003</v>
      </c>
      <c r="C19">
        <v>-2155.4629999999997</v>
      </c>
      <c r="D19" s="252"/>
    </row>
    <row r="20" spans="1:5" x14ac:dyDescent="0.2">
      <c r="A20" s="101">
        <v>44440</v>
      </c>
      <c r="B20">
        <v>346.38199999999995</v>
      </c>
      <c r="C20">
        <v>-1744.9409999999998</v>
      </c>
      <c r="D20" s="252"/>
    </row>
    <row r="21" spans="1:5" x14ac:dyDescent="0.2">
      <c r="A21" s="101">
        <v>44470</v>
      </c>
      <c r="B21">
        <v>451.96800000000002</v>
      </c>
      <c r="C21">
        <v>-852.68600000000004</v>
      </c>
      <c r="D21" s="252"/>
    </row>
    <row r="22" spans="1:5" x14ac:dyDescent="0.2">
      <c r="A22" s="101">
        <v>44501</v>
      </c>
      <c r="B22">
        <v>529.34299999999996</v>
      </c>
      <c r="C22">
        <v>-251.44499999999999</v>
      </c>
      <c r="D22" s="252"/>
    </row>
    <row r="23" spans="1:5" x14ac:dyDescent="0.2">
      <c r="A23" s="101">
        <v>44531</v>
      </c>
      <c r="B23">
        <v>554.26800000000003</v>
      </c>
      <c r="C23">
        <v>-126.46299999999999</v>
      </c>
      <c r="D23" s="252"/>
    </row>
    <row r="26" spans="1:5" x14ac:dyDescent="0.2">
      <c r="A26" s="247" t="s">
        <v>61</v>
      </c>
      <c r="B26" s="251">
        <f>SUM(B12:B23)</f>
        <v>4837.0480000000007</v>
      </c>
      <c r="C26" s="251">
        <f>SUM(C12:C23)</f>
        <v>-17867.081999999999</v>
      </c>
      <c r="D26" s="301">
        <v>21560</v>
      </c>
      <c r="E26" s="251">
        <f>B26+(C26+D26)</f>
        <v>8529.9660000000022</v>
      </c>
    </row>
    <row r="27" spans="1:5" x14ac:dyDescent="0.2">
      <c r="B27" s="250" t="s">
        <v>38</v>
      </c>
      <c r="C27" s="250" t="s">
        <v>39</v>
      </c>
      <c r="D27" s="249" t="s">
        <v>37</v>
      </c>
      <c r="E27" s="248" t="s">
        <v>62</v>
      </c>
    </row>
    <row r="29" spans="1:5" x14ac:dyDescent="0.2">
      <c r="A29" s="246" t="s">
        <v>41</v>
      </c>
      <c r="B29" s="247" t="s">
        <v>175</v>
      </c>
    </row>
  </sheetData>
  <pageMargins left="0.7" right="0.7" top="0.75" bottom="0.75" header="0.3" footer="0.3"/>
  <pageSetup paperSize="9" orientation="portrait" r:id="rId1"/>
  <headerFooter>
    <oddHeader>&amp;LLaatst bijgewerkt op 22 januari 2021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view="pageLayout" zoomScaleNormal="100" workbookViewId="0">
      <selection activeCell="B3" sqref="B3"/>
    </sheetView>
  </sheetViews>
  <sheetFormatPr defaultColWidth="8.85546875" defaultRowHeight="12.75" x14ac:dyDescent="0.2"/>
  <cols>
    <col min="1" max="1" width="26.7109375" style="210" bestFit="1" customWidth="1"/>
    <col min="2" max="2" width="10.42578125" style="210" customWidth="1"/>
    <col min="3" max="3" width="8.140625" style="210" bestFit="1" customWidth="1"/>
    <col min="4" max="16384" width="8.85546875" style="210"/>
  </cols>
  <sheetData>
    <row r="1" spans="1:3" ht="15.75" x14ac:dyDescent="0.25">
      <c r="A1" s="221" t="s">
        <v>101</v>
      </c>
      <c r="B1" s="359" t="s">
        <v>135</v>
      </c>
    </row>
    <row r="2" spans="1:3" x14ac:dyDescent="0.2">
      <c r="A2" s="222"/>
      <c r="B2" s="9"/>
    </row>
    <row r="3" spans="1:3" x14ac:dyDescent="0.2">
      <c r="A3" s="10" t="s">
        <v>8</v>
      </c>
      <c r="B3" s="210">
        <v>26.84</v>
      </c>
    </row>
    <row r="4" spans="1:3" ht="15.75" x14ac:dyDescent="0.25">
      <c r="A4" s="221"/>
    </row>
    <row r="5" spans="1:3" x14ac:dyDescent="0.2">
      <c r="A5" s="220"/>
      <c r="B5" s="219" t="s">
        <v>103</v>
      </c>
      <c r="C5" s="218" t="s">
        <v>10</v>
      </c>
    </row>
    <row r="6" spans="1:3" x14ac:dyDescent="0.2">
      <c r="A6" s="216" t="s">
        <v>104</v>
      </c>
      <c r="B6" s="215">
        <f>716.083-649.126</f>
        <v>66.956999999999994</v>
      </c>
      <c r="C6" s="217">
        <f>B6*B3</f>
        <v>1797.1258799999998</v>
      </c>
    </row>
    <row r="7" spans="1:3" x14ac:dyDescent="0.2">
      <c r="A7" s="216"/>
      <c r="B7" s="215"/>
      <c r="C7" s="214"/>
    </row>
    <row r="8" spans="1:3" x14ac:dyDescent="0.2">
      <c r="A8" s="213" t="s">
        <v>12</v>
      </c>
      <c r="B8" s="212">
        <f>B6</f>
        <v>66.956999999999994</v>
      </c>
      <c r="C8" s="211">
        <f>C6</f>
        <v>1797.1258799999998</v>
      </c>
    </row>
  </sheetData>
  <pageMargins left="0.7" right="0.7" top="0.75" bottom="0.75" header="0.3" footer="0.3"/>
  <pageSetup paperSize="9" orientation="portrait" r:id="rId1"/>
  <headerFooter>
    <oddHeader>&amp;LLaatst bijgewerkt op 22 januari 2021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78"/>
  <sheetViews>
    <sheetView topLeftCell="B42" zoomScale="110" zoomScaleNormal="110" zoomScaleSheetLayoutView="100" zoomScalePageLayoutView="80" workbookViewId="0">
      <selection activeCell="E69" sqref="E69"/>
    </sheetView>
  </sheetViews>
  <sheetFormatPr defaultColWidth="8.85546875" defaultRowHeight="12.75" x14ac:dyDescent="0.2"/>
  <cols>
    <col min="1" max="1" width="21" style="246" customWidth="1"/>
    <col min="2" max="8" width="8.85546875" style="246"/>
    <col min="9" max="9" width="22.42578125" style="246" customWidth="1"/>
    <col min="10" max="10" width="12.140625" style="246" customWidth="1"/>
    <col min="11" max="12" width="8.85546875" style="246"/>
    <col min="13" max="13" width="11.85546875" style="246" bestFit="1" customWidth="1"/>
    <col min="14" max="18" width="8.85546875" style="246"/>
    <col min="19" max="19" width="10.7109375" style="246" bestFit="1" customWidth="1"/>
    <col min="20" max="16384" width="8.85546875" style="246"/>
  </cols>
  <sheetData>
    <row r="2" spans="1:15" ht="23.25" x14ac:dyDescent="0.2">
      <c r="A2" s="411">
        <v>2017</v>
      </c>
      <c r="B2" s="411"/>
      <c r="C2" s="411"/>
      <c r="D2" s="411"/>
      <c r="E2" s="411"/>
      <c r="F2" s="411"/>
      <c r="G2" s="411"/>
    </row>
    <row r="3" spans="1:15" ht="14.25" x14ac:dyDescent="0.2">
      <c r="A3" s="279" t="s">
        <v>44</v>
      </c>
      <c r="B3" s="277"/>
      <c r="C3" s="277"/>
      <c r="D3" s="300"/>
      <c r="E3" s="277"/>
      <c r="F3" s="300"/>
      <c r="G3" s="300"/>
    </row>
    <row r="4" spans="1:15" x14ac:dyDescent="0.2">
      <c r="A4" s="273" t="s">
        <v>45</v>
      </c>
      <c r="B4" s="273"/>
      <c r="C4" s="273"/>
      <c r="D4" s="273"/>
      <c r="E4" s="273"/>
      <c r="F4" s="273"/>
      <c r="G4" s="273"/>
    </row>
    <row r="5" spans="1:15" x14ac:dyDescent="0.2">
      <c r="A5" s="268" t="s">
        <v>13</v>
      </c>
      <c r="B5" s="291">
        <f>'[2]Dieselolie 2017'!B8</f>
        <v>33037</v>
      </c>
      <c r="C5" s="268" t="s">
        <v>46</v>
      </c>
      <c r="D5" s="270"/>
      <c r="E5" s="284">
        <f>'[2]Dieselolie 2017'!C8</f>
        <v>109319.433</v>
      </c>
      <c r="F5" s="268" t="s">
        <v>10</v>
      </c>
      <c r="G5" s="283">
        <f>E5/$E$12</f>
        <v>0.9031100844827582</v>
      </c>
    </row>
    <row r="6" spans="1:15" x14ac:dyDescent="0.2">
      <c r="A6" s="268" t="s">
        <v>47</v>
      </c>
      <c r="B6" s="291">
        <f>'[2]Euro 95 2017'!B8</f>
        <v>4066.68</v>
      </c>
      <c r="C6" s="268" t="s">
        <v>46</v>
      </c>
      <c r="D6" s="270"/>
      <c r="E6" s="284">
        <f>'[2]Euro 95 2017'!C8</f>
        <v>11728.305119999999</v>
      </c>
      <c r="F6" s="268" t="s">
        <v>10</v>
      </c>
      <c r="G6" s="283">
        <f>E6/$E$12</f>
        <v>9.6889915517241701E-2</v>
      </c>
    </row>
    <row r="7" spans="1:15" x14ac:dyDescent="0.2">
      <c r="A7" s="414" t="s">
        <v>48</v>
      </c>
      <c r="B7" s="414"/>
      <c r="C7" s="414"/>
      <c r="D7" s="414"/>
      <c r="E7" s="278">
        <f>SUM(E5:E6)</f>
        <v>121047.73812000001</v>
      </c>
      <c r="F7" s="277" t="s">
        <v>10</v>
      </c>
      <c r="G7" s="281">
        <f>E7/$E$12</f>
        <v>1</v>
      </c>
    </row>
    <row r="8" spans="1:15" x14ac:dyDescent="0.2">
      <c r="A8" s="273" t="s">
        <v>49</v>
      </c>
      <c r="B8" s="273"/>
      <c r="C8" s="273"/>
      <c r="D8" s="273"/>
      <c r="E8" s="273"/>
      <c r="F8" s="273"/>
      <c r="G8" s="273"/>
    </row>
    <row r="9" spans="1:15" x14ac:dyDescent="0.2">
      <c r="A9" s="268" t="s">
        <v>50</v>
      </c>
      <c r="B9" s="284">
        <f>'[2]Elektra 2017'!B2</f>
        <v>18802.404999999999</v>
      </c>
      <c r="C9" s="268" t="s">
        <v>32</v>
      </c>
      <c r="D9" s="270"/>
      <c r="E9" s="284">
        <f>'[2]Elektra 2017'!D2</f>
        <v>0</v>
      </c>
      <c r="F9" s="268" t="s">
        <v>10</v>
      </c>
      <c r="G9" s="283">
        <f>E9/E12</f>
        <v>0</v>
      </c>
    </row>
    <row r="10" spans="1:15" x14ac:dyDescent="0.2">
      <c r="A10" s="414" t="s">
        <v>48</v>
      </c>
      <c r="B10" s="414"/>
      <c r="C10" s="414"/>
      <c r="D10" s="414"/>
      <c r="E10" s="278">
        <f>SUM(E9:E9)</f>
        <v>0</v>
      </c>
      <c r="F10" s="277" t="s">
        <v>10</v>
      </c>
      <c r="G10" s="281">
        <f>E10/E12</f>
        <v>0</v>
      </c>
    </row>
    <row r="11" spans="1:15" x14ac:dyDescent="0.2">
      <c r="A11" s="273" t="s">
        <v>12</v>
      </c>
      <c r="B11" s="273"/>
      <c r="C11" s="273"/>
      <c r="D11" s="273"/>
      <c r="E11" s="273"/>
      <c r="F11" s="273"/>
      <c r="G11" s="273"/>
    </row>
    <row r="12" spans="1:15" x14ac:dyDescent="0.2">
      <c r="A12" s="279"/>
      <c r="B12" s="279"/>
      <c r="C12" s="279"/>
      <c r="D12" s="269" t="s">
        <v>51</v>
      </c>
      <c r="E12" s="278">
        <f>E10+E7</f>
        <v>121047.73812000001</v>
      </c>
      <c r="F12" s="277" t="s">
        <v>10</v>
      </c>
      <c r="G12" s="276">
        <f>G7+G10</f>
        <v>1</v>
      </c>
    </row>
    <row r="13" spans="1:15" ht="14.25" x14ac:dyDescent="0.2">
      <c r="A13" s="300"/>
      <c r="B13" s="300"/>
      <c r="C13" s="300"/>
      <c r="D13" s="300"/>
      <c r="E13" s="300"/>
      <c r="F13" s="300"/>
      <c r="G13" s="300"/>
    </row>
    <row r="14" spans="1:15" ht="23.25" x14ac:dyDescent="0.2">
      <c r="A14" s="411">
        <v>2018</v>
      </c>
      <c r="B14" s="411"/>
      <c r="C14" s="411"/>
      <c r="D14" s="411"/>
      <c r="E14" s="411"/>
      <c r="F14" s="411"/>
      <c r="G14" s="411"/>
      <c r="I14" s="411" t="s">
        <v>138</v>
      </c>
      <c r="J14" s="411"/>
      <c r="K14" s="411"/>
      <c r="L14" s="411"/>
      <c r="M14" s="411"/>
      <c r="N14" s="411"/>
      <c r="O14" s="411"/>
    </row>
    <row r="15" spans="1:15" ht="14.25" x14ac:dyDescent="0.2">
      <c r="A15" s="279" t="s">
        <v>44</v>
      </c>
      <c r="B15" s="277"/>
      <c r="C15" s="277"/>
      <c r="D15" s="300"/>
      <c r="E15" s="277"/>
      <c r="F15" s="300"/>
      <c r="G15" s="300"/>
    </row>
    <row r="16" spans="1:15" x14ac:dyDescent="0.2">
      <c r="A16" s="412" t="s">
        <v>45</v>
      </c>
      <c r="B16" s="413"/>
      <c r="C16" s="413"/>
      <c r="D16" s="413"/>
      <c r="E16" s="413"/>
      <c r="F16" s="413"/>
      <c r="G16" s="413"/>
      <c r="I16" s="412" t="s">
        <v>45</v>
      </c>
      <c r="J16" s="413"/>
      <c r="K16" s="413"/>
      <c r="L16" s="413"/>
      <c r="M16" s="413"/>
      <c r="N16" s="413"/>
      <c r="O16" s="413"/>
    </row>
    <row r="17" spans="1:15" x14ac:dyDescent="0.2">
      <c r="A17" s="268" t="s">
        <v>13</v>
      </c>
      <c r="B17" s="291">
        <f>'[2]CO2-footprint 2018'!B5</f>
        <v>45653.87</v>
      </c>
      <c r="C17" s="268" t="s">
        <v>46</v>
      </c>
      <c r="D17" s="270"/>
      <c r="E17" s="284">
        <f>'[2]CO2-footprint 2018'!E5</f>
        <v>151068.65583</v>
      </c>
      <c r="F17" s="268" t="s">
        <v>10</v>
      </c>
      <c r="G17" s="283">
        <f>E17/$E$24</f>
        <v>0.84262107643704198</v>
      </c>
      <c r="I17" s="246" t="s">
        <v>13</v>
      </c>
      <c r="J17" s="275">
        <f>B17-B5</f>
        <v>12616.870000000003</v>
      </c>
      <c r="K17" s="246" t="s">
        <v>46</v>
      </c>
      <c r="M17" s="284">
        <f>E17-E5</f>
        <v>41749.222829999999</v>
      </c>
      <c r="N17" s="246" t="s">
        <v>10</v>
      </c>
      <c r="O17" s="247" t="s">
        <v>139</v>
      </c>
    </row>
    <row r="18" spans="1:15" x14ac:dyDescent="0.2">
      <c r="A18" s="268" t="s">
        <v>47</v>
      </c>
      <c r="B18" s="291">
        <f>'[2]CO2-footprint 2018'!B6</f>
        <v>9783.48</v>
      </c>
      <c r="C18" s="268" t="s">
        <v>46</v>
      </c>
      <c r="D18" s="270"/>
      <c r="E18" s="284">
        <f>'[2]CO2-footprint 2018'!E6</f>
        <v>28215.556319999996</v>
      </c>
      <c r="F18" s="268" t="s">
        <v>10</v>
      </c>
      <c r="G18" s="283">
        <f>E18/$E$24</f>
        <v>0.15737892356295799</v>
      </c>
      <c r="I18" s="246" t="s">
        <v>47</v>
      </c>
      <c r="J18" s="299">
        <f>B18-B6</f>
        <v>5716.7999999999993</v>
      </c>
      <c r="K18" s="246" t="s">
        <v>46</v>
      </c>
      <c r="M18" s="284">
        <f>E18-E6</f>
        <v>16487.251199999999</v>
      </c>
      <c r="N18" s="246" t="s">
        <v>10</v>
      </c>
      <c r="O18" s="247" t="s">
        <v>139</v>
      </c>
    </row>
    <row r="19" spans="1:15" x14ac:dyDescent="0.2">
      <c r="A19" s="414" t="s">
        <v>48</v>
      </c>
      <c r="B19" s="414"/>
      <c r="C19" s="414"/>
      <c r="D19" s="414"/>
      <c r="E19" s="278">
        <f>SUM(E17:E18)</f>
        <v>179284.21215000001</v>
      </c>
      <c r="F19" s="277" t="s">
        <v>10</v>
      </c>
      <c r="G19" s="281">
        <f>E19/$E$24</f>
        <v>1</v>
      </c>
      <c r="I19" s="246" t="s">
        <v>48</v>
      </c>
      <c r="M19" s="284">
        <f>E19-E7</f>
        <v>58236.474029999998</v>
      </c>
      <c r="N19" s="246" t="s">
        <v>10</v>
      </c>
      <c r="O19" s="247" t="s">
        <v>139</v>
      </c>
    </row>
    <row r="20" spans="1:15" x14ac:dyDescent="0.2">
      <c r="A20" s="273" t="s">
        <v>49</v>
      </c>
      <c r="B20" s="273"/>
      <c r="C20" s="273"/>
      <c r="D20" s="273"/>
      <c r="E20" s="273"/>
      <c r="F20" s="273"/>
      <c r="G20" s="273"/>
      <c r="I20" s="412" t="s">
        <v>49</v>
      </c>
      <c r="J20" s="413"/>
      <c r="K20" s="413"/>
      <c r="L20" s="413"/>
      <c r="M20" s="413"/>
      <c r="N20" s="413"/>
      <c r="O20" s="413"/>
    </row>
    <row r="21" spans="1:15" x14ac:dyDescent="0.2">
      <c r="A21" s="268" t="s">
        <v>64</v>
      </c>
      <c r="B21" s="284">
        <f>'[2]Elektra 2018'!B14</f>
        <v>550.45699999999999</v>
      </c>
      <c r="C21" s="268" t="s">
        <v>32</v>
      </c>
      <c r="D21" s="258"/>
      <c r="E21" s="284">
        <f>'Elektra 2018'!E2</f>
        <v>0</v>
      </c>
      <c r="F21" s="268" t="s">
        <v>10</v>
      </c>
      <c r="G21" s="283">
        <f>E21/E24</f>
        <v>0</v>
      </c>
      <c r="I21" s="246" t="s">
        <v>64</v>
      </c>
      <c r="J21" s="275">
        <f>B21-B9</f>
        <v>-18251.948</v>
      </c>
      <c r="K21" s="246" t="s">
        <v>32</v>
      </c>
      <c r="M21" s="246">
        <v>0</v>
      </c>
      <c r="N21" s="246" t="s">
        <v>10</v>
      </c>
      <c r="O21" s="246" t="s">
        <v>140</v>
      </c>
    </row>
    <row r="22" spans="1:15" x14ac:dyDescent="0.2">
      <c r="A22" s="414" t="s">
        <v>48</v>
      </c>
      <c r="B22" s="414"/>
      <c r="C22" s="414"/>
      <c r="D22" s="414"/>
      <c r="E22" s="278">
        <f>SUM(E21:E21)</f>
        <v>0</v>
      </c>
      <c r="F22" s="277" t="s">
        <v>10</v>
      </c>
      <c r="G22" s="281">
        <f>E22/E24</f>
        <v>0</v>
      </c>
      <c r="I22" s="246" t="s">
        <v>48</v>
      </c>
      <c r="M22" s="246">
        <v>0</v>
      </c>
      <c r="N22" s="246" t="s">
        <v>10</v>
      </c>
    </row>
    <row r="23" spans="1:15" x14ac:dyDescent="0.2">
      <c r="A23" s="273" t="s">
        <v>12</v>
      </c>
      <c r="B23" s="273"/>
      <c r="C23" s="273"/>
      <c r="D23" s="273"/>
      <c r="E23" s="273"/>
      <c r="F23" s="273"/>
      <c r="G23" s="273"/>
    </row>
    <row r="24" spans="1:15" x14ac:dyDescent="0.2">
      <c r="A24" s="279"/>
      <c r="B24" s="279"/>
      <c r="C24" s="279"/>
      <c r="D24" s="269" t="s">
        <v>51</v>
      </c>
      <c r="E24" s="278">
        <f>E22+E19</f>
        <v>179284.21215000001</v>
      </c>
      <c r="F24" s="277" t="s">
        <v>10</v>
      </c>
      <c r="G24" s="276">
        <f>G19+G22</f>
        <v>1</v>
      </c>
      <c r="I24" s="246" t="s">
        <v>48</v>
      </c>
      <c r="M24" s="298">
        <f>E24-E12</f>
        <v>58236.474029999998</v>
      </c>
      <c r="N24" s="246" t="s">
        <v>10</v>
      </c>
      <c r="O24" s="247" t="s">
        <v>139</v>
      </c>
    </row>
    <row r="26" spans="1:15" x14ac:dyDescent="0.2">
      <c r="M26" s="297">
        <f>(E24-E12)/E12</f>
        <v>0.48110336413116278</v>
      </c>
      <c r="N26" s="271" t="s">
        <v>141</v>
      </c>
    </row>
    <row r="28" spans="1:15" ht="23.25" x14ac:dyDescent="0.2">
      <c r="A28" s="411">
        <v>2019</v>
      </c>
      <c r="B28" s="411"/>
      <c r="C28" s="411"/>
      <c r="D28" s="411"/>
      <c r="E28" s="411"/>
      <c r="F28" s="411"/>
      <c r="G28" s="411"/>
      <c r="I28" s="411" t="s">
        <v>142</v>
      </c>
      <c r="J28" s="411"/>
      <c r="K28" s="411"/>
      <c r="L28" s="411"/>
      <c r="M28" s="411"/>
      <c r="N28" s="411"/>
      <c r="O28" s="411"/>
    </row>
    <row r="29" spans="1:15" ht="12.75" customHeight="1" x14ac:dyDescent="0.2">
      <c r="A29" s="279" t="s">
        <v>44</v>
      </c>
      <c r="I29" s="279" t="s">
        <v>44</v>
      </c>
    </row>
    <row r="30" spans="1:15" ht="12.75" customHeight="1" x14ac:dyDescent="0.2">
      <c r="A30" s="412" t="s">
        <v>45</v>
      </c>
      <c r="B30" s="413"/>
      <c r="C30" s="413"/>
      <c r="D30" s="413"/>
      <c r="E30" s="413"/>
      <c r="F30" s="413"/>
      <c r="G30" s="413"/>
      <c r="I30" s="412" t="s">
        <v>45</v>
      </c>
      <c r="J30" s="413"/>
      <c r="K30" s="413"/>
      <c r="L30" s="413"/>
      <c r="M30" s="413"/>
      <c r="N30" s="413"/>
      <c r="O30" s="413"/>
    </row>
    <row r="31" spans="1:15" x14ac:dyDescent="0.2">
      <c r="A31" s="246" t="s">
        <v>13</v>
      </c>
      <c r="B31" s="291">
        <v>44030.22</v>
      </c>
      <c r="C31" s="246" t="s">
        <v>46</v>
      </c>
      <c r="E31" s="291">
        <f>'[2]CO-2 Footprint 2019'!E5</f>
        <v>145451.85996</v>
      </c>
      <c r="F31" s="246" t="s">
        <v>10</v>
      </c>
      <c r="G31" s="283">
        <f>'[2]CO-2 Footprint 2019'!G5</f>
        <v>0.80515360495708821</v>
      </c>
      <c r="I31" s="246" t="s">
        <v>13</v>
      </c>
      <c r="J31" s="275">
        <f>B31-B17</f>
        <v>-1623.6500000000015</v>
      </c>
      <c r="K31" s="268" t="s">
        <v>46</v>
      </c>
      <c r="M31" s="275">
        <f>E31-E17</f>
        <v>-5616.7958700000017</v>
      </c>
      <c r="N31" s="246" t="s">
        <v>10</v>
      </c>
      <c r="O31" s="247" t="s">
        <v>143</v>
      </c>
    </row>
    <row r="32" spans="1:15" x14ac:dyDescent="0.2">
      <c r="A32" s="246" t="s">
        <v>47</v>
      </c>
      <c r="B32" s="291">
        <v>10075.57</v>
      </c>
      <c r="C32" s="246" t="s">
        <v>46</v>
      </c>
      <c r="E32" s="291">
        <f>'[2]CO-2 Footprint 2019'!E6</f>
        <v>29057.943879999999</v>
      </c>
      <c r="F32" s="246" t="s">
        <v>10</v>
      </c>
      <c r="G32" s="283">
        <f>'[2]CO-2 Footprint 2019'!G6</f>
        <v>0.16085121409968087</v>
      </c>
      <c r="I32" s="246" t="s">
        <v>47</v>
      </c>
      <c r="J32" s="275">
        <f>B32-B18</f>
        <v>292.09000000000015</v>
      </c>
      <c r="K32" s="268" t="s">
        <v>46</v>
      </c>
      <c r="M32" s="275">
        <f>E32-E18</f>
        <v>842.38756000000285</v>
      </c>
      <c r="N32" s="246" t="s">
        <v>10</v>
      </c>
      <c r="O32" s="247" t="s">
        <v>144</v>
      </c>
    </row>
    <row r="33" spans="1:15" s="282" customFormat="1" x14ac:dyDescent="0.2">
      <c r="A33" s="289" t="s">
        <v>112</v>
      </c>
      <c r="B33" s="296">
        <f>'[2]CO-2 Footprint 2019'!B7</f>
        <v>396.4</v>
      </c>
      <c r="E33" s="296">
        <f>'[2]CO-2 Footprint 2019'!E7</f>
        <v>1143.2175999999999</v>
      </c>
      <c r="F33" s="282" t="s">
        <v>10</v>
      </c>
      <c r="G33" s="295">
        <f>'[2]CO-2 Footprint 2019'!G7</f>
        <v>6.3283190200766302E-3</v>
      </c>
      <c r="I33" s="290" t="s">
        <v>112</v>
      </c>
      <c r="J33" s="287">
        <f>B33</f>
        <v>396.4</v>
      </c>
      <c r="K33" s="289"/>
      <c r="M33" s="287">
        <f>E33</f>
        <v>1143.2175999999999</v>
      </c>
      <c r="N33" s="282" t="s">
        <v>10</v>
      </c>
      <c r="O33" s="286" t="s">
        <v>144</v>
      </c>
    </row>
    <row r="34" spans="1:15" x14ac:dyDescent="0.2">
      <c r="D34" s="271" t="s">
        <v>48</v>
      </c>
      <c r="E34" s="294">
        <f>'[2]CO-2 Footprint 2019'!E9</f>
        <v>175653.02144000001</v>
      </c>
      <c r="F34" s="271" t="s">
        <v>10</v>
      </c>
      <c r="G34" s="281">
        <f>'[2]CO-2 Footprint 2019'!G9</f>
        <v>0.97233313807684585</v>
      </c>
      <c r="J34" s="275"/>
      <c r="L34" s="271" t="s">
        <v>48</v>
      </c>
      <c r="M34" s="280">
        <f>E34-E19</f>
        <v>-3631.1907099999953</v>
      </c>
      <c r="N34" s="271" t="s">
        <v>10</v>
      </c>
      <c r="O34" s="247" t="s">
        <v>144</v>
      </c>
    </row>
    <row r="35" spans="1:15" x14ac:dyDescent="0.2">
      <c r="A35" s="412" t="s">
        <v>49</v>
      </c>
      <c r="B35" s="413"/>
      <c r="C35" s="413"/>
      <c r="D35" s="413"/>
      <c r="E35" s="413"/>
      <c r="F35" s="413"/>
      <c r="G35" s="413"/>
      <c r="I35" s="412" t="s">
        <v>49</v>
      </c>
      <c r="J35" s="413"/>
      <c r="K35" s="413"/>
      <c r="L35" s="413"/>
      <c r="M35" s="413"/>
      <c r="N35" s="413"/>
      <c r="O35" s="413"/>
    </row>
    <row r="36" spans="1:15" x14ac:dyDescent="0.2">
      <c r="A36" s="246" t="s">
        <v>31</v>
      </c>
      <c r="B36" s="291">
        <v>10609.587</v>
      </c>
      <c r="C36" s="246" t="s">
        <v>32</v>
      </c>
      <c r="E36" s="246">
        <v>0</v>
      </c>
      <c r="F36" s="246" t="s">
        <v>10</v>
      </c>
      <c r="G36" s="283">
        <f>'[2]CO-2 Footprint 2019'!G11</f>
        <v>0</v>
      </c>
      <c r="I36" s="246" t="s">
        <v>31</v>
      </c>
      <c r="J36" s="275">
        <f>B36-B21</f>
        <v>10059.129999999999</v>
      </c>
      <c r="M36" s="246">
        <v>0</v>
      </c>
      <c r="N36" s="246" t="s">
        <v>10</v>
      </c>
    </row>
    <row r="37" spans="1:15" s="282" customFormat="1" ht="25.5" x14ac:dyDescent="0.2">
      <c r="A37" s="288" t="s">
        <v>145</v>
      </c>
      <c r="B37" s="296">
        <v>4705.76</v>
      </c>
      <c r="C37" s="282" t="s">
        <v>32</v>
      </c>
      <c r="E37" s="296">
        <f>'[2]CO-2 Footprint 2019'!E12</f>
        <v>2616.4025600000004</v>
      </c>
      <c r="F37" s="282" t="s">
        <v>10</v>
      </c>
      <c r="G37" s="295">
        <f>'[2]CO-2 Footprint 2019'!G12</f>
        <v>1.4483183328025383E-2</v>
      </c>
      <c r="I37" s="288" t="s">
        <v>145</v>
      </c>
      <c r="J37" s="287">
        <f>B37</f>
        <v>4705.76</v>
      </c>
      <c r="M37" s="287">
        <f>E37</f>
        <v>2616.4025600000004</v>
      </c>
      <c r="N37" s="282" t="s">
        <v>10</v>
      </c>
      <c r="O37" s="286" t="s">
        <v>144</v>
      </c>
    </row>
    <row r="38" spans="1:15" x14ac:dyDescent="0.2">
      <c r="A38" s="246" t="str">
        <f>'[2]CO-2 Footprint 2019'!A13</f>
        <v>Stadswarmte</v>
      </c>
      <c r="B38" s="275">
        <f>'[2]CO-2 Footprint 2019'!B13</f>
        <v>66.212000000000003</v>
      </c>
      <c r="C38" s="246" t="str">
        <f>'[2]CO-2 Footprint 2019'!C13</f>
        <v>GJ</v>
      </c>
      <c r="E38" s="275">
        <f>'[2]CO-2 Footprint 2019'!E13</f>
        <v>2381.6456400000002</v>
      </c>
      <c r="F38" s="246" t="s">
        <v>10</v>
      </c>
      <c r="G38" s="272">
        <f>'[2]CO-2 Footprint 2019'!G13</f>
        <v>1.3183678595128855E-2</v>
      </c>
      <c r="I38" s="246" t="s">
        <v>146</v>
      </c>
    </row>
    <row r="39" spans="1:15" x14ac:dyDescent="0.2">
      <c r="D39" s="271" t="s">
        <v>48</v>
      </c>
      <c r="E39" s="294">
        <f>'[2]CO-2 Footprint 2019'!E14</f>
        <v>4998.0482000000011</v>
      </c>
      <c r="F39" s="271" t="s">
        <v>10</v>
      </c>
      <c r="G39" s="281">
        <f>'[2]CO-2 Footprint 2019'!G14</f>
        <v>2.7666861923154241E-2</v>
      </c>
      <c r="L39" s="271" t="s">
        <v>48</v>
      </c>
      <c r="M39" s="280">
        <f>E39</f>
        <v>4998.0482000000011</v>
      </c>
      <c r="N39" s="271" t="s">
        <v>10</v>
      </c>
      <c r="O39" s="247" t="s">
        <v>144</v>
      </c>
    </row>
    <row r="40" spans="1:15" x14ac:dyDescent="0.2">
      <c r="A40" s="412" t="s">
        <v>12</v>
      </c>
      <c r="B40" s="413"/>
      <c r="C40" s="413"/>
      <c r="D40" s="413"/>
      <c r="E40" s="413"/>
      <c r="F40" s="413"/>
      <c r="G40" s="413"/>
      <c r="I40" s="412" t="s">
        <v>12</v>
      </c>
      <c r="J40" s="413"/>
      <c r="K40" s="413"/>
      <c r="L40" s="413"/>
      <c r="M40" s="413"/>
      <c r="N40" s="413"/>
      <c r="O40" s="413"/>
    </row>
    <row r="41" spans="1:15" x14ac:dyDescent="0.2">
      <c r="D41" s="293" t="s">
        <v>51</v>
      </c>
      <c r="E41" s="280">
        <f>'[2]CO-2 Footprint 2019'!E16</f>
        <v>180651.06964</v>
      </c>
      <c r="F41" s="246" t="s">
        <v>10</v>
      </c>
      <c r="G41" s="292">
        <f>G34+G39</f>
        <v>1</v>
      </c>
      <c r="M41" s="275">
        <f>E41-E24</f>
        <v>1366.8574899999949</v>
      </c>
      <c r="N41" s="271" t="s">
        <v>10</v>
      </c>
      <c r="O41" s="274">
        <f>M41/E24</f>
        <v>7.6239701957493012E-3</v>
      </c>
    </row>
    <row r="43" spans="1:15" x14ac:dyDescent="0.2">
      <c r="M43" s="272">
        <v>4.0000000000000001E-3</v>
      </c>
      <c r="N43" s="271" t="s">
        <v>147</v>
      </c>
    </row>
    <row r="44" spans="1:15" ht="23.25" x14ac:dyDescent="0.2">
      <c r="A44" s="411">
        <v>2020</v>
      </c>
      <c r="B44" s="411"/>
      <c r="C44" s="411"/>
      <c r="D44" s="411"/>
      <c r="E44" s="411"/>
      <c r="F44" s="411"/>
      <c r="G44" s="411"/>
      <c r="I44" s="411" t="s">
        <v>148</v>
      </c>
      <c r="J44" s="411"/>
      <c r="K44" s="411"/>
      <c r="L44" s="411"/>
      <c r="M44" s="411"/>
      <c r="N44" s="411"/>
      <c r="O44" s="411"/>
    </row>
    <row r="45" spans="1:15" x14ac:dyDescent="0.2">
      <c r="A45" s="415" t="s">
        <v>44</v>
      </c>
      <c r="B45" s="413"/>
      <c r="C45" s="413"/>
      <c r="D45" s="413"/>
      <c r="E45" s="413"/>
      <c r="F45" s="413"/>
      <c r="G45" s="413"/>
      <c r="I45" s="279" t="s">
        <v>44</v>
      </c>
    </row>
    <row r="46" spans="1:15" x14ac:dyDescent="0.2">
      <c r="A46" s="273" t="s">
        <v>45</v>
      </c>
      <c r="B46" s="273"/>
      <c r="C46" s="273"/>
      <c r="D46" s="273"/>
      <c r="E46" s="273"/>
      <c r="F46" s="273"/>
      <c r="G46" s="273"/>
      <c r="I46" s="412" t="s">
        <v>45</v>
      </c>
      <c r="J46" s="413"/>
      <c r="K46" s="413"/>
      <c r="L46" s="413"/>
      <c r="M46" s="413"/>
      <c r="N46" s="413"/>
      <c r="O46" s="413"/>
    </row>
    <row r="47" spans="1:15" x14ac:dyDescent="0.2">
      <c r="A47" s="268" t="s">
        <v>13</v>
      </c>
      <c r="B47" s="291">
        <f>'[2]CO-2 Footprint 2020'!B5</f>
        <v>38363.590000000004</v>
      </c>
      <c r="C47" s="268" t="s">
        <v>46</v>
      </c>
      <c r="D47" s="270"/>
      <c r="E47" s="284">
        <f>'[2]CO-2 Footprint 2020'!E5</f>
        <v>125142.03058000001</v>
      </c>
      <c r="F47" s="268" t="s">
        <v>10</v>
      </c>
      <c r="G47" s="283">
        <f>E47/$E$58</f>
        <v>0.81296675117492201</v>
      </c>
      <c r="I47" s="246" t="s">
        <v>13</v>
      </c>
      <c r="J47" s="275">
        <f>B47-B31</f>
        <v>-5666.6299999999974</v>
      </c>
      <c r="K47" s="268" t="s">
        <v>46</v>
      </c>
      <c r="M47" s="275">
        <f>E47-E31</f>
        <v>-20309.829379999996</v>
      </c>
      <c r="N47" s="246" t="s">
        <v>10</v>
      </c>
      <c r="O47" s="247" t="s">
        <v>143</v>
      </c>
    </row>
    <row r="48" spans="1:15" x14ac:dyDescent="0.2">
      <c r="A48" s="268" t="s">
        <v>47</v>
      </c>
      <c r="B48" s="291">
        <f>'[2]CO-2 Footprint 2020'!B6</f>
        <v>8449.6999999999989</v>
      </c>
      <c r="C48" s="268" t="s">
        <v>46</v>
      </c>
      <c r="D48" s="270"/>
      <c r="E48" s="284">
        <f>'[2]CO-2 Footprint 2020'!E6</f>
        <v>23523.964799999994</v>
      </c>
      <c r="F48" s="268" t="s">
        <v>10</v>
      </c>
      <c r="G48" s="283">
        <f>E48/$E$58</f>
        <v>0.1528199690349728</v>
      </c>
      <c r="I48" s="246" t="s">
        <v>47</v>
      </c>
      <c r="J48" s="275">
        <f>B48-B32</f>
        <v>-1625.8700000000008</v>
      </c>
      <c r="K48" s="268" t="s">
        <v>46</v>
      </c>
      <c r="M48" s="275">
        <f>E48-E32</f>
        <v>-5533.9790800000046</v>
      </c>
      <c r="N48" s="246" t="s">
        <v>10</v>
      </c>
      <c r="O48" s="247" t="s">
        <v>143</v>
      </c>
    </row>
    <row r="49" spans="1:19" x14ac:dyDescent="0.2">
      <c r="A49" s="268" t="s">
        <v>112</v>
      </c>
      <c r="B49" s="291">
        <f>'CO-2 Footprint 2020'!B7</f>
        <v>5782</v>
      </c>
      <c r="C49" s="268" t="s">
        <v>189</v>
      </c>
      <c r="D49" s="270"/>
      <c r="E49" s="284">
        <f>'CO-2 Footprint 2020'!E7</f>
        <v>1167.9640000000002</v>
      </c>
      <c r="F49" s="268" t="s">
        <v>10</v>
      </c>
      <c r="G49" s="283">
        <f>E49/E58</f>
        <v>7.5875059256151848E-3</v>
      </c>
      <c r="I49" s="290" t="s">
        <v>112</v>
      </c>
      <c r="J49" s="287">
        <f>B49-B33</f>
        <v>5385.6</v>
      </c>
      <c r="K49" s="289" t="s">
        <v>46</v>
      </c>
      <c r="L49" s="282"/>
      <c r="M49" s="287">
        <f>E49-E33</f>
        <v>24.746400000000222</v>
      </c>
      <c r="N49" s="282" t="s">
        <v>10</v>
      </c>
      <c r="O49" s="286" t="s">
        <v>143</v>
      </c>
      <c r="P49" s="282"/>
    </row>
    <row r="50" spans="1:19" x14ac:dyDescent="0.2">
      <c r="A50" s="268"/>
      <c r="B50" s="291"/>
      <c r="C50" s="268"/>
      <c r="D50" s="270"/>
      <c r="E50" s="284"/>
      <c r="F50" s="268"/>
      <c r="G50" s="283"/>
      <c r="I50" s="290"/>
      <c r="J50" s="287"/>
      <c r="K50" s="289"/>
      <c r="L50" s="282"/>
      <c r="M50" s="287"/>
      <c r="N50" s="282"/>
      <c r="O50" s="286"/>
    </row>
    <row r="51" spans="1:19" x14ac:dyDescent="0.2">
      <c r="A51" s="414" t="s">
        <v>48</v>
      </c>
      <c r="B51" s="414"/>
      <c r="C51" s="414"/>
      <c r="D51" s="414"/>
      <c r="E51" s="278">
        <f>SUM(E47+E48+E49)</f>
        <v>149833.95938000001</v>
      </c>
      <c r="F51" s="277" t="s">
        <v>10</v>
      </c>
      <c r="G51" s="281">
        <f>E51/$E$58</f>
        <v>0.97337422613551006</v>
      </c>
      <c r="J51" s="275"/>
      <c r="L51" s="271" t="s">
        <v>48</v>
      </c>
      <c r="M51" s="280">
        <f>E51-E34</f>
        <v>-25819.062059999997</v>
      </c>
      <c r="N51" s="271" t="s">
        <v>10</v>
      </c>
      <c r="O51" s="247" t="s">
        <v>149</v>
      </c>
      <c r="S51" s="272"/>
    </row>
    <row r="52" spans="1:19" x14ac:dyDescent="0.2">
      <c r="A52" s="412" t="s">
        <v>49</v>
      </c>
      <c r="B52" s="413"/>
      <c r="C52" s="413"/>
      <c r="D52" s="413"/>
      <c r="E52" s="413"/>
      <c r="F52" s="413"/>
      <c r="G52" s="413"/>
      <c r="I52" s="412" t="s">
        <v>49</v>
      </c>
      <c r="J52" s="413"/>
      <c r="K52" s="413"/>
      <c r="L52" s="413"/>
      <c r="M52" s="413"/>
      <c r="N52" s="413"/>
      <c r="O52" s="413"/>
    </row>
    <row r="53" spans="1:19" x14ac:dyDescent="0.2">
      <c r="A53" s="268" t="str">
        <f>'[2]CO-2 Footprint 2020'!A11</f>
        <v>1. Zonnenergie</v>
      </c>
      <c r="B53" s="284">
        <f>'[2]CO-2 Footprint 2020'!B11</f>
        <v>10704.864999999996</v>
      </c>
      <c r="C53" s="268" t="s">
        <v>32</v>
      </c>
      <c r="D53" s="258"/>
      <c r="E53" s="284">
        <f>'[2]CO-2 Footprint 2020'!E11</f>
        <v>0</v>
      </c>
      <c r="F53" s="268" t="s">
        <v>10</v>
      </c>
      <c r="G53" s="283">
        <f>E53/E58</f>
        <v>0</v>
      </c>
      <c r="I53" s="246" t="s">
        <v>31</v>
      </c>
      <c r="J53" s="275">
        <f>B53-B36</f>
        <v>95.277999999996609</v>
      </c>
      <c r="K53" s="282" t="s">
        <v>150</v>
      </c>
      <c r="M53" s="246">
        <v>0</v>
      </c>
      <c r="N53" s="246" t="s">
        <v>10</v>
      </c>
      <c r="O53" s="247" t="s">
        <v>144</v>
      </c>
      <c r="P53" s="282"/>
    </row>
    <row r="54" spans="1:19" ht="25.5" x14ac:dyDescent="0.2">
      <c r="A54" s="285" t="str">
        <f>'[2]CO-2 Footprint 2020'!A12</f>
        <v xml:space="preserve">2. Opladen elektrische auto SK-37-1X </v>
      </c>
      <c r="B54" s="284">
        <f>'[2]CO-2 Footprint 2020'!B12</f>
        <v>4581.6220000000003</v>
      </c>
      <c r="C54" s="268" t="s">
        <v>32</v>
      </c>
      <c r="D54" s="258"/>
      <c r="E54" s="284">
        <f>'[2]CO-2 Footprint 2020'!E12</f>
        <v>2547.3818320000005</v>
      </c>
      <c r="F54" s="268" t="s">
        <v>10</v>
      </c>
      <c r="G54" s="283">
        <f>E54/E58</f>
        <v>1.6548690494830719E-2</v>
      </c>
      <c r="I54" s="288" t="s">
        <v>145</v>
      </c>
      <c r="J54" s="287">
        <f>B54-B37</f>
        <v>-124.13799999999992</v>
      </c>
      <c r="K54" s="282" t="s">
        <v>150</v>
      </c>
      <c r="L54" s="282"/>
      <c r="M54" s="287">
        <f>E54-E37</f>
        <v>-69.020727999999963</v>
      </c>
      <c r="N54" s="282" t="s">
        <v>10</v>
      </c>
      <c r="O54" s="286" t="s">
        <v>143</v>
      </c>
    </row>
    <row r="55" spans="1:19" x14ac:dyDescent="0.2">
      <c r="A55" s="285" t="str">
        <f>'[2]CO-2 Footprint 2020'!A13</f>
        <v>Stadswarmte</v>
      </c>
      <c r="B55" s="284">
        <f>'Stadswarmte 2020'!B8</f>
        <v>57.793999999999997</v>
      </c>
      <c r="C55" s="268" t="s">
        <v>103</v>
      </c>
      <c r="D55" s="258"/>
      <c r="E55" s="284">
        <f>'Stadswarmte 2020'!C8</f>
        <v>1551.1909599999999</v>
      </c>
      <c r="F55" s="268" t="s">
        <v>10</v>
      </c>
      <c r="G55" s="283">
        <f>E55/E58</f>
        <v>1.0077083369659257E-2</v>
      </c>
      <c r="I55" s="246" t="s">
        <v>146</v>
      </c>
      <c r="J55" s="275">
        <f>B55-B38</f>
        <v>-8.4180000000000064</v>
      </c>
      <c r="K55" s="246" t="s">
        <v>103</v>
      </c>
      <c r="M55" s="275">
        <f>E55-E38</f>
        <v>-830.45468000000028</v>
      </c>
      <c r="N55" s="282" t="s">
        <v>10</v>
      </c>
      <c r="O55" s="247" t="s">
        <v>143</v>
      </c>
    </row>
    <row r="56" spans="1:19" x14ac:dyDescent="0.2">
      <c r="A56" s="414" t="s">
        <v>48</v>
      </c>
      <c r="B56" s="414"/>
      <c r="C56" s="414"/>
      <c r="D56" s="414"/>
      <c r="E56" s="278">
        <f>SUM(E53:E55)</f>
        <v>4098.5727920000008</v>
      </c>
      <c r="F56" s="277" t="s">
        <v>10</v>
      </c>
      <c r="G56" s="281">
        <f>E56/E58</f>
        <v>2.6625773864489981E-2</v>
      </c>
      <c r="L56" s="271" t="s">
        <v>48</v>
      </c>
      <c r="M56" s="280">
        <f>E56-E39</f>
        <v>-899.47540800000024</v>
      </c>
      <c r="N56" s="271" t="s">
        <v>10</v>
      </c>
      <c r="O56" s="247" t="s">
        <v>143</v>
      </c>
    </row>
    <row r="57" spans="1:19" x14ac:dyDescent="0.2">
      <c r="A57" s="412" t="s">
        <v>12</v>
      </c>
      <c r="B57" s="413"/>
      <c r="C57" s="413"/>
      <c r="D57" s="413"/>
      <c r="E57" s="413"/>
      <c r="F57" s="413"/>
      <c r="G57" s="413"/>
      <c r="I57" s="412" t="s">
        <v>12</v>
      </c>
      <c r="J57" s="413"/>
      <c r="K57" s="413"/>
      <c r="L57" s="413"/>
      <c r="M57" s="413"/>
      <c r="N57" s="413"/>
      <c r="O57" s="413"/>
    </row>
    <row r="58" spans="1:19" x14ac:dyDescent="0.2">
      <c r="A58" s="279"/>
      <c r="B58" s="279"/>
      <c r="C58" s="279"/>
      <c r="D58" s="269" t="s">
        <v>51</v>
      </c>
      <c r="E58" s="278">
        <f>E56+E51</f>
        <v>153932.53217200001</v>
      </c>
      <c r="F58" s="277" t="s">
        <v>10</v>
      </c>
      <c r="G58" s="276">
        <f>G51+G56</f>
        <v>1</v>
      </c>
      <c r="M58" s="275">
        <f>E58-E41</f>
        <v>-26718.537467999995</v>
      </c>
      <c r="N58" s="271" t="s">
        <v>10</v>
      </c>
      <c r="O58" s="274">
        <f>M58/E41</f>
        <v>-0.14790135215498298</v>
      </c>
    </row>
    <row r="60" spans="1:19" x14ac:dyDescent="0.2">
      <c r="M60" s="272">
        <f>(E58-E41)/E41</f>
        <v>-0.14790135215498298</v>
      </c>
      <c r="N60" s="271" t="s">
        <v>151</v>
      </c>
    </row>
    <row r="61" spans="1:19" x14ac:dyDescent="0.2">
      <c r="M61" s="272"/>
      <c r="N61" s="271"/>
    </row>
    <row r="62" spans="1:19" ht="23.25" x14ac:dyDescent="0.2">
      <c r="A62" s="411">
        <v>2021</v>
      </c>
      <c r="B62" s="411"/>
      <c r="C62" s="411"/>
      <c r="D62" s="411"/>
      <c r="E62" s="411"/>
      <c r="F62" s="411"/>
      <c r="G62" s="411"/>
      <c r="I62" s="411" t="s">
        <v>183</v>
      </c>
      <c r="J62" s="411"/>
      <c r="K62" s="411"/>
      <c r="L62" s="411"/>
      <c r="M62" s="411"/>
      <c r="N62" s="411"/>
      <c r="O62" s="411"/>
    </row>
    <row r="63" spans="1:19" x14ac:dyDescent="0.2">
      <c r="A63" s="415" t="s">
        <v>44</v>
      </c>
      <c r="B63" s="413"/>
      <c r="C63" s="413"/>
      <c r="D63" s="413"/>
      <c r="E63" s="413"/>
      <c r="F63" s="413"/>
      <c r="G63" s="413"/>
      <c r="I63" s="279" t="s">
        <v>44</v>
      </c>
    </row>
    <row r="64" spans="1:19" x14ac:dyDescent="0.2">
      <c r="A64" s="273" t="s">
        <v>45</v>
      </c>
      <c r="B64" s="273"/>
      <c r="C64" s="273"/>
      <c r="D64" s="273"/>
      <c r="E64" s="273"/>
      <c r="F64" s="273"/>
      <c r="G64" s="273"/>
      <c r="I64" s="412" t="s">
        <v>45</v>
      </c>
      <c r="J64" s="413"/>
      <c r="K64" s="413"/>
      <c r="L64" s="413"/>
      <c r="M64" s="413"/>
      <c r="N64" s="413"/>
      <c r="O64" s="413"/>
    </row>
    <row r="65" spans="1:16" x14ac:dyDescent="0.2">
      <c r="A65" s="268" t="s">
        <v>13</v>
      </c>
      <c r="B65" s="275">
        <f>'Dieselolie 2021'!B10</f>
        <v>37042.870000000003</v>
      </c>
      <c r="C65" s="268" t="s">
        <v>46</v>
      </c>
      <c r="E65" s="275">
        <f>'Dieselolie 2021'!C10</f>
        <v>120833.84194000001</v>
      </c>
      <c r="F65" s="268" t="s">
        <v>10</v>
      </c>
      <c r="G65" s="358">
        <f>E65/E76</f>
        <v>0.80135601844345583</v>
      </c>
      <c r="I65" s="246" t="s">
        <v>13</v>
      </c>
      <c r="J65" s="275">
        <f>B65-B47</f>
        <v>-1320.7200000000012</v>
      </c>
      <c r="K65" s="268" t="s">
        <v>46</v>
      </c>
      <c r="M65" s="275">
        <f>E65-E47</f>
        <v>-4308.188639999993</v>
      </c>
      <c r="N65" s="246" t="s">
        <v>10</v>
      </c>
      <c r="O65" s="247" t="s">
        <v>143</v>
      </c>
    </row>
    <row r="66" spans="1:16" x14ac:dyDescent="0.2">
      <c r="A66" s="268" t="s">
        <v>47</v>
      </c>
      <c r="B66" s="275">
        <f>'Euro 95 2021'!B8</f>
        <v>8740.5600000000013</v>
      </c>
      <c r="C66" s="268" t="s">
        <v>46</v>
      </c>
      <c r="E66" s="275">
        <f>'Euro 95 2021'!C8</f>
        <v>24333.719040000004</v>
      </c>
      <c r="F66" s="268" t="s">
        <v>10</v>
      </c>
      <c r="G66" s="358">
        <f>E66/E76</f>
        <v>0.16137840104015574</v>
      </c>
      <c r="I66" s="246" t="s">
        <v>47</v>
      </c>
      <c r="J66" s="275">
        <f>B66-B48</f>
        <v>290.8600000000024</v>
      </c>
      <c r="K66" s="268" t="s">
        <v>46</v>
      </c>
      <c r="M66" s="275">
        <f>E66-E48</f>
        <v>809.7542400000093</v>
      </c>
      <c r="N66" s="246" t="s">
        <v>10</v>
      </c>
      <c r="O66" s="247" t="s">
        <v>144</v>
      </c>
    </row>
    <row r="67" spans="1:16" x14ac:dyDescent="0.2">
      <c r="A67" s="268" t="s">
        <v>112</v>
      </c>
      <c r="B67" s="275">
        <f>'Euro 95 2021'!C33</f>
        <v>5615</v>
      </c>
      <c r="C67" s="268" t="s">
        <v>181</v>
      </c>
      <c r="E67" s="275">
        <f>'Euro 95 2021'!C9</f>
        <v>1145.46</v>
      </c>
      <c r="F67" s="268" t="s">
        <v>10</v>
      </c>
      <c r="G67" s="358">
        <f>E67/E76</f>
        <v>7.596557803252124E-3</v>
      </c>
      <c r="I67" s="290" t="s">
        <v>112</v>
      </c>
      <c r="J67" s="287">
        <f>B67-B49</f>
        <v>-167</v>
      </c>
      <c r="K67" s="289" t="s">
        <v>181</v>
      </c>
      <c r="L67" s="282"/>
      <c r="M67" s="287">
        <f>E67-E49</f>
        <v>-22.504000000000133</v>
      </c>
      <c r="N67" s="282" t="s">
        <v>10</v>
      </c>
      <c r="O67" s="247" t="s">
        <v>143</v>
      </c>
      <c r="P67" s="282"/>
    </row>
    <row r="68" spans="1:16" x14ac:dyDescent="0.2">
      <c r="A68" s="268"/>
      <c r="C68" s="268"/>
      <c r="F68" s="268"/>
      <c r="G68" s="358"/>
      <c r="I68" s="290"/>
      <c r="J68" s="287"/>
      <c r="K68" s="289"/>
      <c r="L68" s="282"/>
      <c r="M68" s="287"/>
      <c r="N68" s="282"/>
      <c r="O68" s="286"/>
    </row>
    <row r="69" spans="1:16" x14ac:dyDescent="0.2">
      <c r="A69" s="414" t="s">
        <v>48</v>
      </c>
      <c r="B69" s="414"/>
      <c r="C69" s="414"/>
      <c r="D69" s="414"/>
      <c r="E69" s="357">
        <f>E65+E66+E67</f>
        <v>146313.02098</v>
      </c>
      <c r="F69" s="268" t="s">
        <v>10</v>
      </c>
      <c r="G69" s="358">
        <f>E69/E76</f>
        <v>0.97033097728686357</v>
      </c>
      <c r="J69" s="275"/>
      <c r="L69" s="271" t="s">
        <v>48</v>
      </c>
      <c r="M69" s="280">
        <f>E69-E51</f>
        <v>-3520.9384000000136</v>
      </c>
      <c r="N69" s="271" t="s">
        <v>10</v>
      </c>
      <c r="O69" s="247" t="s">
        <v>149</v>
      </c>
    </row>
    <row r="70" spans="1:16" x14ac:dyDescent="0.2">
      <c r="A70" s="412" t="s">
        <v>49</v>
      </c>
      <c r="B70" s="413"/>
      <c r="C70" s="413"/>
      <c r="D70" s="413"/>
      <c r="E70" s="413"/>
      <c r="F70" s="413"/>
      <c r="G70" s="413"/>
      <c r="I70" s="412" t="s">
        <v>49</v>
      </c>
      <c r="J70" s="413"/>
      <c r="K70" s="413"/>
      <c r="L70" s="413"/>
      <c r="M70" s="413"/>
      <c r="N70" s="413"/>
      <c r="O70" s="413"/>
    </row>
    <row r="71" spans="1:16" x14ac:dyDescent="0.2">
      <c r="A71" s="246" t="str">
        <f>'Elektra 2021'!A2</f>
        <v>1. Zonnenergie</v>
      </c>
      <c r="B71" s="275">
        <f>'Elektra 2021'!B2</f>
        <v>8529.9660000000022</v>
      </c>
      <c r="C71" s="268" t="s">
        <v>32</v>
      </c>
      <c r="E71" s="246">
        <f>'Elektra 2021'!E2</f>
        <v>0</v>
      </c>
      <c r="F71" s="268" t="s">
        <v>10</v>
      </c>
      <c r="G71" s="358">
        <f>E71/E76</f>
        <v>0</v>
      </c>
      <c r="I71" s="246" t="s">
        <v>31</v>
      </c>
      <c r="J71" s="275">
        <f>B71-B53</f>
        <v>-2174.898999999994</v>
      </c>
      <c r="K71" s="282" t="s">
        <v>150</v>
      </c>
      <c r="M71" s="246">
        <v>0</v>
      </c>
      <c r="N71" s="246" t="s">
        <v>10</v>
      </c>
      <c r="O71" s="247"/>
      <c r="P71" s="282"/>
    </row>
    <row r="72" spans="1:16" x14ac:dyDescent="0.2">
      <c r="A72" s="247" t="s">
        <v>176</v>
      </c>
      <c r="B72" s="275">
        <f>'Elektra 2021'!B3+'Elektra 2021'!B4</f>
        <v>5117.7220000000007</v>
      </c>
      <c r="C72" s="268" t="s">
        <v>32</v>
      </c>
      <c r="E72" s="275">
        <f>'Elektra 2021'!E3+'Elektra 2021'!E4</f>
        <v>2676.5686060000007</v>
      </c>
      <c r="F72" s="268" t="s">
        <v>10</v>
      </c>
      <c r="G72" s="358">
        <f>E72/E76</f>
        <v>1.7750692411650313E-2</v>
      </c>
      <c r="I72" s="290" t="s">
        <v>176</v>
      </c>
      <c r="J72" s="287">
        <f>B72-B54</f>
        <v>536.10000000000036</v>
      </c>
      <c r="K72" s="282" t="s">
        <v>150</v>
      </c>
      <c r="L72" s="282"/>
      <c r="M72" s="287">
        <f>E72-E54</f>
        <v>129.18677400000024</v>
      </c>
      <c r="N72" s="282" t="s">
        <v>10</v>
      </c>
      <c r="O72" s="286" t="s">
        <v>144</v>
      </c>
    </row>
    <row r="73" spans="1:16" x14ac:dyDescent="0.2">
      <c r="A73" s="246" t="str">
        <f>'Stadswarmte 2021'!A6</f>
        <v>Stadswarmte</v>
      </c>
      <c r="B73" s="275">
        <f>'Stadswarmte 2021'!B8</f>
        <v>66.956999999999994</v>
      </c>
      <c r="C73" s="268" t="s">
        <v>103</v>
      </c>
      <c r="E73" s="275">
        <f>'Stadswarmte 2021'!C8</f>
        <v>1797.1258799999998</v>
      </c>
      <c r="F73" s="268" t="s">
        <v>10</v>
      </c>
      <c r="G73" s="358">
        <f>E73/E76</f>
        <v>1.1918330301486162E-2</v>
      </c>
      <c r="I73" s="246" t="s">
        <v>146</v>
      </c>
      <c r="J73" s="275">
        <f>B73-B55</f>
        <v>9.1629999999999967</v>
      </c>
      <c r="K73" s="246" t="s">
        <v>103</v>
      </c>
      <c r="M73" s="275">
        <f>E73-E55</f>
        <v>245.93491999999992</v>
      </c>
      <c r="N73" s="282" t="s">
        <v>10</v>
      </c>
      <c r="O73" s="247" t="s">
        <v>144</v>
      </c>
    </row>
    <row r="74" spans="1:16" x14ac:dyDescent="0.2">
      <c r="A74" s="414" t="s">
        <v>48</v>
      </c>
      <c r="B74" s="414"/>
      <c r="C74" s="414"/>
      <c r="D74" s="414"/>
      <c r="E74" s="357">
        <f>E71+E72+E73</f>
        <v>4473.6944860000003</v>
      </c>
      <c r="F74" s="268" t="s">
        <v>10</v>
      </c>
      <c r="G74" s="358">
        <f>E74/E76</f>
        <v>2.9669022713136473E-2</v>
      </c>
      <c r="L74" s="271" t="s">
        <v>48</v>
      </c>
      <c r="M74" s="280">
        <f>E74-E56</f>
        <v>375.12169399999948</v>
      </c>
      <c r="N74" s="271" t="s">
        <v>10</v>
      </c>
      <c r="O74" s="247" t="s">
        <v>144</v>
      </c>
    </row>
    <row r="75" spans="1:16" x14ac:dyDescent="0.2">
      <c r="A75" s="412" t="s">
        <v>12</v>
      </c>
      <c r="B75" s="413"/>
      <c r="C75" s="413"/>
      <c r="D75" s="413"/>
      <c r="E75" s="413"/>
      <c r="F75" s="413"/>
      <c r="G75" s="413"/>
      <c r="I75" s="412" t="s">
        <v>12</v>
      </c>
      <c r="J75" s="413"/>
      <c r="K75" s="413"/>
      <c r="L75" s="413"/>
      <c r="M75" s="413"/>
      <c r="N75" s="413"/>
      <c r="O75" s="413"/>
    </row>
    <row r="76" spans="1:16" x14ac:dyDescent="0.2">
      <c r="C76" s="270"/>
      <c r="D76" s="269" t="s">
        <v>51</v>
      </c>
      <c r="E76" s="280">
        <f>E69+E74</f>
        <v>150786.71546599999</v>
      </c>
      <c r="F76" s="268" t="s">
        <v>10</v>
      </c>
      <c r="G76" s="272">
        <f>G74+G69</f>
        <v>1</v>
      </c>
      <c r="M76" s="275">
        <f>E76-E58</f>
        <v>-3145.8167060000123</v>
      </c>
      <c r="N76" s="271" t="s">
        <v>10</v>
      </c>
      <c r="O76" s="274">
        <f>M76/E58</f>
        <v>-2.0436334422699959E-2</v>
      </c>
    </row>
    <row r="78" spans="1:16" x14ac:dyDescent="0.2">
      <c r="M78" s="272">
        <f>(E76-E58)/E58</f>
        <v>-2.0436334422699959E-2</v>
      </c>
      <c r="N78" s="271" t="s">
        <v>184</v>
      </c>
    </row>
  </sheetData>
  <mergeCells count="38">
    <mergeCell ref="A52:G52"/>
    <mergeCell ref="A70:G70"/>
    <mergeCell ref="A57:G57"/>
    <mergeCell ref="A51:D51"/>
    <mergeCell ref="A56:D56"/>
    <mergeCell ref="A75:G75"/>
    <mergeCell ref="A69:D69"/>
    <mergeCell ref="A74:D74"/>
    <mergeCell ref="A62:G62"/>
    <mergeCell ref="A63:G63"/>
    <mergeCell ref="I46:O46"/>
    <mergeCell ref="I52:O52"/>
    <mergeCell ref="I57:O57"/>
    <mergeCell ref="I14:O14"/>
    <mergeCell ref="I16:O16"/>
    <mergeCell ref="I20:O20"/>
    <mergeCell ref="I35:O35"/>
    <mergeCell ref="A44:G44"/>
    <mergeCell ref="A45:G45"/>
    <mergeCell ref="A28:G28"/>
    <mergeCell ref="A35:G35"/>
    <mergeCell ref="I44:O44"/>
    <mergeCell ref="I62:O62"/>
    <mergeCell ref="I64:O64"/>
    <mergeCell ref="I70:O70"/>
    <mergeCell ref="I75:O75"/>
    <mergeCell ref="A2:G2"/>
    <mergeCell ref="A7:D7"/>
    <mergeCell ref="A10:D10"/>
    <mergeCell ref="A14:G14"/>
    <mergeCell ref="A19:D19"/>
    <mergeCell ref="A16:G16"/>
    <mergeCell ref="A22:D22"/>
    <mergeCell ref="I28:O28"/>
    <mergeCell ref="I30:O30"/>
    <mergeCell ref="A30:G30"/>
    <mergeCell ref="A40:G40"/>
    <mergeCell ref="I40:O40"/>
  </mergeCells>
  <pageMargins left="0.7" right="0.7" top="0.75" bottom="0.75" header="0.3" footer="0.3"/>
  <pageSetup paperSize="9" scale="87" orientation="portrait" r:id="rId1"/>
  <headerFooter>
    <oddHeader>&amp;LVERSIE 16-2-2021</oddHeader>
  </headerFooter>
  <colBreaks count="2" manualBreakCount="2">
    <brk id="8" max="74" man="1"/>
    <brk id="17" max="1048575" man="1"/>
  </col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40"/>
  <sheetViews>
    <sheetView zoomScale="85" zoomScaleNormal="85" zoomScalePageLayoutView="130" workbookViewId="0">
      <selection activeCell="J23" sqref="J23"/>
    </sheetView>
  </sheetViews>
  <sheetFormatPr defaultColWidth="9.140625" defaultRowHeight="12.75" x14ac:dyDescent="0.2"/>
  <cols>
    <col min="1" max="1" width="50" style="188" bestFit="1" customWidth="1"/>
    <col min="2" max="2" width="34" style="188" customWidth="1"/>
    <col min="3" max="4" width="9.140625" style="188"/>
    <col min="5" max="5" width="10.7109375" style="188" bestFit="1" customWidth="1"/>
    <col min="6" max="6" width="21.42578125" style="188" bestFit="1" customWidth="1"/>
    <col min="7" max="7" width="17.42578125" style="188" bestFit="1" customWidth="1"/>
    <col min="8" max="16384" width="9.140625" style="188"/>
  </cols>
  <sheetData>
    <row r="3" spans="1:8" ht="15.75" x14ac:dyDescent="0.2">
      <c r="A3" s="208" t="s">
        <v>6</v>
      </c>
      <c r="B3" s="209" t="s">
        <v>198</v>
      </c>
    </row>
    <row r="4" spans="1:8" ht="15.75" x14ac:dyDescent="0.2">
      <c r="A4" s="208"/>
    </row>
    <row r="5" spans="1:8" x14ac:dyDescent="0.2">
      <c r="A5" s="123" t="s">
        <v>8</v>
      </c>
      <c r="B5" s="124">
        <v>3.262</v>
      </c>
    </row>
    <row r="6" spans="1:8" x14ac:dyDescent="0.2">
      <c r="C6" s="207"/>
    </row>
    <row r="7" spans="1:8" x14ac:dyDescent="0.2">
      <c r="A7" s="206"/>
      <c r="B7" s="205" t="s">
        <v>9</v>
      </c>
      <c r="C7" s="204" t="s">
        <v>10</v>
      </c>
    </row>
    <row r="8" spans="1:8" x14ac:dyDescent="0.2">
      <c r="A8" s="203" t="s">
        <v>153</v>
      </c>
      <c r="B8" s="202">
        <f>C25</f>
        <v>35181.22</v>
      </c>
      <c r="C8" s="201">
        <f>B8*B5</f>
        <v>114761.13964000001</v>
      </c>
    </row>
    <row r="9" spans="1:8" x14ac:dyDescent="0.2">
      <c r="A9" s="200"/>
      <c r="B9" s="199"/>
      <c r="C9" s="198"/>
    </row>
    <row r="10" spans="1:8" x14ac:dyDescent="0.2">
      <c r="A10" s="197" t="s">
        <v>12</v>
      </c>
      <c r="B10" s="196">
        <f>B8</f>
        <v>35181.22</v>
      </c>
      <c r="C10" s="195">
        <f>C8</f>
        <v>114761.13964000001</v>
      </c>
    </row>
    <row r="12" spans="1:8" ht="15" x14ac:dyDescent="0.2">
      <c r="A12" s="194" t="s">
        <v>154</v>
      </c>
      <c r="B12" s="193" t="s">
        <v>24</v>
      </c>
      <c r="C12" s="192" t="s">
        <v>9</v>
      </c>
      <c r="D12" s="192" t="s">
        <v>10</v>
      </c>
      <c r="E12" s="365" t="s">
        <v>69</v>
      </c>
      <c r="F12" s="365" t="s">
        <v>182</v>
      </c>
    </row>
    <row r="13" spans="1:8" x14ac:dyDescent="0.2">
      <c r="A13" s="323" t="s">
        <v>70</v>
      </c>
      <c r="B13" s="324" t="s">
        <v>199</v>
      </c>
      <c r="C13" s="325">
        <v>9711.23</v>
      </c>
      <c r="D13" s="343">
        <f>C13*$B$5</f>
        <v>31678.03226</v>
      </c>
      <c r="E13" s="326">
        <v>35304</v>
      </c>
      <c r="F13" s="366">
        <f>D13/E13</f>
        <v>0.89729300532517564</v>
      </c>
      <c r="H13" s="207" t="s">
        <v>206</v>
      </c>
    </row>
    <row r="14" spans="1:8" x14ac:dyDescent="0.2">
      <c r="A14" s="323" t="s">
        <v>194</v>
      </c>
      <c r="B14" s="324" t="s">
        <v>199</v>
      </c>
      <c r="C14" s="325">
        <v>5474.26</v>
      </c>
      <c r="D14" s="343">
        <f t="shared" ref="D14" si="0">C14*$B$5</f>
        <v>17857.036120000001</v>
      </c>
      <c r="E14" s="326">
        <v>23466</v>
      </c>
      <c r="F14" s="366">
        <f t="shared" ref="F14:F22" si="1">D14/E14</f>
        <v>0.76097486235404421</v>
      </c>
      <c r="H14" s="207" t="s">
        <v>206</v>
      </c>
    </row>
    <row r="15" spans="1:8" x14ac:dyDescent="0.2">
      <c r="A15" s="323" t="s">
        <v>75</v>
      </c>
      <c r="B15" s="324" t="s">
        <v>199</v>
      </c>
      <c r="C15" s="327">
        <v>2426.48</v>
      </c>
      <c r="D15" s="343">
        <f>C15*$B$5</f>
        <v>7915.1777600000005</v>
      </c>
      <c r="E15" s="326">
        <v>31834</v>
      </c>
      <c r="F15" s="366">
        <f t="shared" si="1"/>
        <v>0.24863912043726835</v>
      </c>
      <c r="H15" s="207" t="s">
        <v>206</v>
      </c>
    </row>
    <row r="16" spans="1:8" x14ac:dyDescent="0.2">
      <c r="A16" s="323" t="s">
        <v>77</v>
      </c>
      <c r="B16" s="324" t="s">
        <v>199</v>
      </c>
      <c r="C16" s="327">
        <v>1843.49</v>
      </c>
      <c r="D16" s="343">
        <f t="shared" ref="D16:D23" si="2">C16*$B$5</f>
        <v>6013.4643800000003</v>
      </c>
      <c r="E16" s="326">
        <v>29808.7</v>
      </c>
      <c r="F16" s="366">
        <f t="shared" si="1"/>
        <v>0.20173521086125865</v>
      </c>
      <c r="H16" s="207" t="s">
        <v>206</v>
      </c>
    </row>
    <row r="17" spans="1:8" x14ac:dyDescent="0.2">
      <c r="A17" s="323" t="s">
        <v>80</v>
      </c>
      <c r="B17" s="324" t="s">
        <v>199</v>
      </c>
      <c r="C17" s="327">
        <v>1509.83</v>
      </c>
      <c r="D17" s="343">
        <f t="shared" si="2"/>
        <v>4925.0654599999998</v>
      </c>
      <c r="E17" s="326">
        <v>23019</v>
      </c>
      <c r="F17" s="366">
        <f t="shared" si="1"/>
        <v>0.21395653416742691</v>
      </c>
      <c r="H17" s="207" t="s">
        <v>206</v>
      </c>
    </row>
    <row r="18" spans="1:8" x14ac:dyDescent="0.2">
      <c r="A18" s="323" t="s">
        <v>159</v>
      </c>
      <c r="B18" s="324" t="s">
        <v>199</v>
      </c>
      <c r="C18" s="327">
        <v>287</v>
      </c>
      <c r="D18" s="343">
        <f t="shared" si="2"/>
        <v>936.19399999999996</v>
      </c>
      <c r="E18" s="326">
        <v>1254</v>
      </c>
      <c r="F18" s="366">
        <f t="shared" si="1"/>
        <v>0.7465661881977671</v>
      </c>
      <c r="H18" s="207" t="s">
        <v>206</v>
      </c>
    </row>
    <row r="19" spans="1:8" x14ac:dyDescent="0.2">
      <c r="A19" s="323" t="s">
        <v>160</v>
      </c>
      <c r="B19" s="324" t="s">
        <v>199</v>
      </c>
      <c r="C19" s="327">
        <v>5746.53</v>
      </c>
      <c r="D19" s="343">
        <f t="shared" si="2"/>
        <v>18745.18086</v>
      </c>
      <c r="E19" s="326">
        <v>16847</v>
      </c>
      <c r="F19" s="366">
        <f t="shared" si="1"/>
        <v>1.1126717433370927</v>
      </c>
      <c r="H19" s="207" t="s">
        <v>206</v>
      </c>
    </row>
    <row r="20" spans="1:8" x14ac:dyDescent="0.2">
      <c r="A20" s="323" t="s">
        <v>161</v>
      </c>
      <c r="B20" s="324" t="s">
        <v>199</v>
      </c>
      <c r="C20" s="327">
        <v>1616.9</v>
      </c>
      <c r="D20" s="343">
        <f t="shared" si="2"/>
        <v>5274.3278</v>
      </c>
      <c r="E20" s="326">
        <v>27842.799999999999</v>
      </c>
      <c r="F20" s="366">
        <f t="shared" si="1"/>
        <v>0.1894323774907696</v>
      </c>
      <c r="G20" s="355"/>
      <c r="H20" s="207" t="s">
        <v>206</v>
      </c>
    </row>
    <row r="21" spans="1:8" x14ac:dyDescent="0.2">
      <c r="A21" s="323" t="s">
        <v>124</v>
      </c>
      <c r="B21" s="324" t="s">
        <v>199</v>
      </c>
      <c r="C21" s="327">
        <v>2670.46</v>
      </c>
      <c r="D21" s="343">
        <f t="shared" si="2"/>
        <v>8711.0405200000005</v>
      </c>
      <c r="E21" s="326">
        <v>18402</v>
      </c>
      <c r="F21" s="366">
        <f t="shared" si="1"/>
        <v>0.47337466144984242</v>
      </c>
      <c r="H21" s="207" t="s">
        <v>206</v>
      </c>
    </row>
    <row r="22" spans="1:8" x14ac:dyDescent="0.2">
      <c r="A22" s="323" t="s">
        <v>193</v>
      </c>
      <c r="B22" s="324" t="s">
        <v>199</v>
      </c>
      <c r="C22" s="327">
        <v>2024.18</v>
      </c>
      <c r="D22" s="343">
        <f t="shared" si="2"/>
        <v>6602.8751600000005</v>
      </c>
      <c r="E22" s="326">
        <v>37009</v>
      </c>
      <c r="F22" s="366">
        <f t="shared" si="1"/>
        <v>0.17841268772460755</v>
      </c>
      <c r="H22" s="207" t="s">
        <v>206</v>
      </c>
    </row>
    <row r="23" spans="1:8" x14ac:dyDescent="0.2">
      <c r="A23" s="323" t="s">
        <v>200</v>
      </c>
      <c r="B23" s="324" t="s">
        <v>199</v>
      </c>
      <c r="C23" s="327">
        <v>1870.86</v>
      </c>
      <c r="D23" s="343">
        <f t="shared" si="2"/>
        <v>6102.74532</v>
      </c>
      <c r="E23" s="326">
        <v>6740</v>
      </c>
      <c r="F23" s="366">
        <f>D23/E23</f>
        <v>0.90545182789317502</v>
      </c>
      <c r="H23" s="207" t="s">
        <v>206</v>
      </c>
    </row>
    <row r="24" spans="1:8" x14ac:dyDescent="0.2">
      <c r="A24" s="323"/>
      <c r="B24" s="324"/>
      <c r="C24" s="327"/>
      <c r="D24" s="345"/>
      <c r="E24" s="326"/>
      <c r="F24" s="326"/>
    </row>
    <row r="25" spans="1:8" x14ac:dyDescent="0.2">
      <c r="A25" s="328" t="s">
        <v>162</v>
      </c>
      <c r="B25" s="329"/>
      <c r="C25" s="330">
        <f>SUM(C13:C23)</f>
        <v>35181.22</v>
      </c>
      <c r="D25" s="330">
        <f>SUM(D13:D23)</f>
        <v>114761.13963999998</v>
      </c>
      <c r="E25" s="331">
        <f>SUM(E13:E23)</f>
        <v>251526.5</v>
      </c>
    </row>
    <row r="26" spans="1:8" x14ac:dyDescent="0.2">
      <c r="A26" s="328" t="s">
        <v>190</v>
      </c>
      <c r="B26" s="324"/>
      <c r="C26" s="327"/>
      <c r="D26" s="345"/>
      <c r="E26" s="326"/>
      <c r="F26" s="395">
        <f>SUM(F13:F23)/10</f>
        <v>0.59285082192384275</v>
      </c>
    </row>
    <row r="28" spans="1:8" ht="15" x14ac:dyDescent="0.2">
      <c r="A28" s="194" t="s">
        <v>163</v>
      </c>
      <c r="B28" s="193" t="s">
        <v>24</v>
      </c>
      <c r="C28" s="192" t="s">
        <v>9</v>
      </c>
      <c r="D28" s="192" t="s">
        <v>10</v>
      </c>
      <c r="E28" s="192" t="s">
        <v>69</v>
      </c>
    </row>
    <row r="29" spans="1:8" x14ac:dyDescent="0.2">
      <c r="A29" s="323" t="s">
        <v>164</v>
      </c>
      <c r="B29" s="329"/>
      <c r="C29" s="325"/>
      <c r="D29" s="343"/>
      <c r="E29" s="332"/>
    </row>
    <row r="30" spans="1:8" x14ac:dyDescent="0.2">
      <c r="A30" s="323"/>
      <c r="B30" s="329"/>
      <c r="C30" s="327"/>
      <c r="D30" s="345"/>
      <c r="E30" s="332"/>
    </row>
    <row r="31" spans="1:8" x14ac:dyDescent="0.2">
      <c r="A31" s="323"/>
      <c r="B31" s="329"/>
      <c r="C31" s="327"/>
      <c r="D31" s="345"/>
      <c r="E31" s="332"/>
    </row>
    <row r="32" spans="1:8" x14ac:dyDescent="0.2">
      <c r="A32" s="323"/>
      <c r="B32" s="329"/>
      <c r="C32" s="327"/>
      <c r="D32" s="345"/>
      <c r="E32" s="332"/>
    </row>
    <row r="33" spans="1:5" x14ac:dyDescent="0.2">
      <c r="A33" s="323"/>
      <c r="B33" s="329"/>
      <c r="C33" s="327"/>
      <c r="D33" s="345"/>
      <c r="E33" s="332"/>
    </row>
    <row r="34" spans="1:5" x14ac:dyDescent="0.2">
      <c r="A34" s="323"/>
      <c r="B34" s="329"/>
      <c r="C34" s="327"/>
      <c r="D34" s="345"/>
      <c r="E34" s="332"/>
    </row>
    <row r="35" spans="1:5" x14ac:dyDescent="0.2">
      <c r="A35" s="323"/>
      <c r="B35" s="329"/>
      <c r="C35" s="327"/>
      <c r="D35" s="345"/>
      <c r="E35" s="332"/>
    </row>
    <row r="36" spans="1:5" x14ac:dyDescent="0.2">
      <c r="A36" s="207"/>
      <c r="B36" s="302"/>
      <c r="C36" s="303"/>
      <c r="D36" s="303"/>
      <c r="E36" s="191"/>
    </row>
    <row r="37" spans="1:5" x14ac:dyDescent="0.2">
      <c r="A37" s="207"/>
      <c r="B37" s="302"/>
      <c r="C37" s="303"/>
      <c r="D37" s="303"/>
      <c r="E37" s="191"/>
    </row>
    <row r="38" spans="1:5" ht="14.25" x14ac:dyDescent="0.2">
      <c r="A38" s="190" t="s">
        <v>97</v>
      </c>
      <c r="B38" s="356">
        <f>E25</f>
        <v>251526.5</v>
      </c>
    </row>
    <row r="39" spans="1:5" x14ac:dyDescent="0.2">
      <c r="A39" s="190" t="s">
        <v>128</v>
      </c>
      <c r="B39" s="189">
        <f>E25/D25</f>
        <v>2.1917393012044513</v>
      </c>
    </row>
    <row r="40" spans="1:5" x14ac:dyDescent="0.2">
      <c r="A40" s="190"/>
      <c r="B40" s="189"/>
    </row>
  </sheetData>
  <pageMargins left="0.7" right="0.7" top="0.75" bottom="0.75" header="0.3" footer="0.3"/>
  <pageSetup paperSize="9" orientation="portrait" r:id="rId1"/>
  <headerFooter>
    <oddHeader>&amp;LVERSIE 16-2-2021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5"/>
  <sheetViews>
    <sheetView tabSelected="1" topLeftCell="A10" zoomScaleNormal="100" zoomScalePageLayoutView="110" workbookViewId="0">
      <selection activeCell="F20" sqref="F20:F24"/>
    </sheetView>
  </sheetViews>
  <sheetFormatPr defaultColWidth="8.85546875" defaultRowHeight="12.75" x14ac:dyDescent="0.2"/>
  <cols>
    <col min="1" max="1" width="26.7109375" style="223" bestFit="1" customWidth="1"/>
    <col min="2" max="2" width="33.85546875" style="223" customWidth="1"/>
    <col min="3" max="3" width="11.7109375" style="223" customWidth="1"/>
    <col min="4" max="4" width="12.42578125" style="223" customWidth="1"/>
    <col min="5" max="5" width="12.7109375" style="223" customWidth="1"/>
    <col min="6" max="6" width="11.42578125" style="223" customWidth="1"/>
    <col min="7" max="16384" width="8.85546875" style="223"/>
  </cols>
  <sheetData>
    <row r="2" spans="1:8" ht="15.75" x14ac:dyDescent="0.25">
      <c r="A2" s="245" t="s">
        <v>22</v>
      </c>
      <c r="B2" s="209" t="s">
        <v>201</v>
      </c>
    </row>
    <row r="3" spans="1:8" x14ac:dyDescent="0.2">
      <c r="A3" s="243"/>
      <c r="B3" s="9"/>
    </row>
    <row r="4" spans="1:8" x14ac:dyDescent="0.2">
      <c r="A4" s="10" t="s">
        <v>8</v>
      </c>
      <c r="B4" s="11">
        <v>2.7839999999999998</v>
      </c>
      <c r="C4" s="226"/>
    </row>
    <row r="5" spans="1:8" ht="15" x14ac:dyDescent="0.2">
      <c r="A5" s="10"/>
      <c r="B5" s="351"/>
      <c r="D5" s="351"/>
    </row>
    <row r="7" spans="1:8" x14ac:dyDescent="0.2">
      <c r="A7" s="242"/>
      <c r="B7" s="241" t="s">
        <v>9</v>
      </c>
      <c r="C7" s="240" t="s">
        <v>10</v>
      </c>
    </row>
    <row r="8" spans="1:8" x14ac:dyDescent="0.2">
      <c r="A8" s="237" t="s">
        <v>86</v>
      </c>
      <c r="B8" s="239">
        <f>C16+C25</f>
        <v>4832.47</v>
      </c>
      <c r="C8" s="238">
        <f>B8*B4</f>
        <v>13453.59648</v>
      </c>
    </row>
    <row r="9" spans="1:8" x14ac:dyDescent="0.2">
      <c r="A9" s="237" t="s">
        <v>87</v>
      </c>
      <c r="B9" s="239"/>
      <c r="C9" s="238">
        <f>E30</f>
        <v>1297.848</v>
      </c>
    </row>
    <row r="10" spans="1:8" x14ac:dyDescent="0.2">
      <c r="A10" s="237"/>
      <c r="B10" s="236"/>
      <c r="C10" s="235"/>
    </row>
    <row r="11" spans="1:8" x14ac:dyDescent="0.2">
      <c r="A11" s="234" t="s">
        <v>12</v>
      </c>
      <c r="B11" s="233">
        <f>B8+ B9</f>
        <v>4832.47</v>
      </c>
      <c r="C11" s="232">
        <f>C8+C9</f>
        <v>14751.44448</v>
      </c>
    </row>
    <row r="13" spans="1:8" x14ac:dyDescent="0.2">
      <c r="A13" s="231" t="s">
        <v>88</v>
      </c>
    </row>
    <row r="14" spans="1:8" ht="38.25" x14ac:dyDescent="0.2">
      <c r="A14" s="344" t="s">
        <v>165</v>
      </c>
      <c r="B14" s="364" t="s">
        <v>24</v>
      </c>
      <c r="C14" s="363" t="s">
        <v>9</v>
      </c>
      <c r="D14" s="363" t="s">
        <v>10</v>
      </c>
      <c r="E14" s="363" t="s">
        <v>69</v>
      </c>
      <c r="F14" s="367" t="s">
        <v>182</v>
      </c>
    </row>
    <row r="15" spans="1:8" x14ac:dyDescent="0.2">
      <c r="A15" s="324" t="s">
        <v>167</v>
      </c>
      <c r="B15" s="324" t="s">
        <v>199</v>
      </c>
      <c r="C15" s="333">
        <v>948.66</v>
      </c>
      <c r="D15" s="333">
        <f>C15*$B4</f>
        <v>2641.0694399999998</v>
      </c>
      <c r="E15" s="334">
        <v>9937.2000000000007</v>
      </c>
      <c r="F15" s="373">
        <f>D15/E15</f>
        <v>0.26577601738920414</v>
      </c>
      <c r="H15" s="226" t="s">
        <v>206</v>
      </c>
    </row>
    <row r="16" spans="1:8" x14ac:dyDescent="0.2">
      <c r="A16" s="328" t="s">
        <v>162</v>
      </c>
      <c r="B16" s="328"/>
      <c r="C16" s="335">
        <f>C15</f>
        <v>948.66</v>
      </c>
      <c r="D16" s="335">
        <f t="shared" ref="D16:E16" si="0">D15</f>
        <v>2641.0694399999998</v>
      </c>
      <c r="E16" s="335">
        <f t="shared" si="0"/>
        <v>9937.2000000000007</v>
      </c>
      <c r="F16" s="374"/>
    </row>
    <row r="17" spans="1:8" x14ac:dyDescent="0.2">
      <c r="A17" s="328" t="s">
        <v>190</v>
      </c>
      <c r="B17" s="328"/>
      <c r="C17" s="335"/>
      <c r="D17" s="335"/>
      <c r="E17" s="335"/>
      <c r="F17" s="376">
        <f>F15/1</f>
        <v>0.26577601738920414</v>
      </c>
    </row>
    <row r="18" spans="1:8" x14ac:dyDescent="0.2">
      <c r="A18" s="324"/>
      <c r="B18" s="324"/>
      <c r="C18" s="333"/>
      <c r="D18" s="333"/>
      <c r="E18" s="336"/>
      <c r="F18" s="230"/>
    </row>
    <row r="19" spans="1:8" ht="38.25" x14ac:dyDescent="0.2">
      <c r="A19" s="364" t="s">
        <v>168</v>
      </c>
      <c r="B19" s="364" t="s">
        <v>24</v>
      </c>
      <c r="C19" s="363" t="s">
        <v>9</v>
      </c>
      <c r="D19" s="367" t="s">
        <v>10</v>
      </c>
      <c r="E19" s="360" t="s">
        <v>69</v>
      </c>
      <c r="F19" s="367" t="s">
        <v>182</v>
      </c>
    </row>
    <row r="20" spans="1:8" x14ac:dyDescent="0.2">
      <c r="A20" s="324" t="s">
        <v>166</v>
      </c>
      <c r="B20" s="324" t="s">
        <v>199</v>
      </c>
      <c r="C20" s="333">
        <v>801.12</v>
      </c>
      <c r="D20" s="333">
        <f>C20*$B$4</f>
        <v>2230.31808</v>
      </c>
      <c r="E20" s="334">
        <v>11885</v>
      </c>
      <c r="F20" s="373">
        <f>D20/E20</f>
        <v>0.1876582313840976</v>
      </c>
      <c r="H20" s="226" t="s">
        <v>206</v>
      </c>
    </row>
    <row r="21" spans="1:8" x14ac:dyDescent="0.2">
      <c r="A21" s="324" t="s">
        <v>92</v>
      </c>
      <c r="B21" s="324" t="s">
        <v>199</v>
      </c>
      <c r="C21" s="333">
        <v>1011.58</v>
      </c>
      <c r="D21" s="333">
        <f t="shared" ref="D21:D22" si="1">C21*$B$4</f>
        <v>2816.2387199999998</v>
      </c>
      <c r="E21" s="337">
        <v>18582</v>
      </c>
      <c r="F21" s="373">
        <f t="shared" ref="F21:F23" si="2">D21/E21</f>
        <v>0.1515573522763965</v>
      </c>
      <c r="G21" s="226"/>
      <c r="H21" s="226" t="s">
        <v>206</v>
      </c>
    </row>
    <row r="22" spans="1:8" x14ac:dyDescent="0.2">
      <c r="A22" s="130" t="s">
        <v>169</v>
      </c>
      <c r="B22" s="324" t="s">
        <v>199</v>
      </c>
      <c r="C22" s="305">
        <v>849.86</v>
      </c>
      <c r="D22" s="333">
        <f t="shared" si="1"/>
        <v>2366.0102400000001</v>
      </c>
      <c r="E22" s="338">
        <v>17939</v>
      </c>
      <c r="F22" s="373">
        <f t="shared" si="2"/>
        <v>0.13189198060092536</v>
      </c>
      <c r="H22" s="226" t="s">
        <v>206</v>
      </c>
    </row>
    <row r="23" spans="1:8" x14ac:dyDescent="0.2">
      <c r="A23" s="130" t="s">
        <v>170</v>
      </c>
      <c r="B23" s="324" t="s">
        <v>199</v>
      </c>
      <c r="C23" s="171">
        <v>1221.25</v>
      </c>
      <c r="D23" s="333">
        <f>C23*$B$4</f>
        <v>3399.9599999999996</v>
      </c>
      <c r="E23" s="337">
        <v>20399</v>
      </c>
      <c r="F23" s="373">
        <f t="shared" si="2"/>
        <v>0.16667287612137849</v>
      </c>
      <c r="H23" s="226" t="s">
        <v>206</v>
      </c>
    </row>
    <row r="24" spans="1:8" x14ac:dyDescent="0.2">
      <c r="A24" s="130"/>
      <c r="B24" s="324"/>
      <c r="C24" s="171"/>
      <c r="D24" s="333"/>
      <c r="E24" s="337"/>
      <c r="F24" s="368"/>
    </row>
    <row r="25" spans="1:8" ht="11.25" customHeight="1" x14ac:dyDescent="0.2">
      <c r="A25" s="339" t="s">
        <v>171</v>
      </c>
      <c r="B25" s="340"/>
      <c r="C25" s="341">
        <f>SUM(C20:C23)</f>
        <v>3883.81</v>
      </c>
      <c r="D25" s="341">
        <f>SUM(D20:D23)</f>
        <v>10812.527039999999</v>
      </c>
      <c r="E25" s="342">
        <f>SUM(E20:E23)</f>
        <v>68805</v>
      </c>
      <c r="F25" s="374"/>
    </row>
    <row r="26" spans="1:8" x14ac:dyDescent="0.2">
      <c r="A26" s="339" t="s">
        <v>190</v>
      </c>
      <c r="B26" s="340"/>
      <c r="C26" s="341"/>
      <c r="D26" s="341"/>
      <c r="E26" s="342"/>
      <c r="F26" s="375">
        <f>SUM(F20:F23)/4</f>
        <v>0.15944511009569948</v>
      </c>
    </row>
    <row r="27" spans="1:8" x14ac:dyDescent="0.2">
      <c r="F27" s="230"/>
    </row>
    <row r="28" spans="1:8" ht="25.5" x14ac:dyDescent="0.2">
      <c r="A28" s="229" t="s">
        <v>98</v>
      </c>
      <c r="E28" s="224"/>
      <c r="F28" s="224"/>
    </row>
    <row r="29" spans="1:8" ht="38.25" x14ac:dyDescent="0.2">
      <c r="A29" s="364" t="s">
        <v>178</v>
      </c>
      <c r="B29" s="364" t="s">
        <v>24</v>
      </c>
      <c r="C29" s="354" t="s">
        <v>179</v>
      </c>
      <c r="D29" s="361" t="s">
        <v>180</v>
      </c>
      <c r="E29" s="360" t="s">
        <v>130</v>
      </c>
      <c r="F29" s="224"/>
    </row>
    <row r="30" spans="1:8" ht="25.5" x14ac:dyDescent="0.2">
      <c r="A30" s="324" t="s">
        <v>177</v>
      </c>
      <c r="B30" s="324" t="s">
        <v>202</v>
      </c>
      <c r="C30" s="352">
        <v>6362</v>
      </c>
      <c r="D30" s="353">
        <v>0.20399999999999999</v>
      </c>
      <c r="E30" s="362">
        <f>C30*D30</f>
        <v>1297.848</v>
      </c>
      <c r="F30" s="228"/>
    </row>
    <row r="31" spans="1:8" x14ac:dyDescent="0.2">
      <c r="E31" s="224"/>
      <c r="F31" s="224"/>
    </row>
    <row r="32" spans="1:8" ht="14.25" x14ac:dyDescent="0.2">
      <c r="A32" s="190" t="s">
        <v>97</v>
      </c>
      <c r="B32" s="369">
        <f>C30+E25+E16</f>
        <v>85104.2</v>
      </c>
      <c r="C32" s="227"/>
      <c r="F32" s="224"/>
      <c r="G32" s="224"/>
    </row>
    <row r="33" spans="1:7" x14ac:dyDescent="0.2">
      <c r="A33" s="190" t="s">
        <v>128</v>
      </c>
      <c r="B33" s="226">
        <f>B32/C11</f>
        <v>5.7692112874358994</v>
      </c>
      <c r="C33" s="225"/>
      <c r="F33" s="224"/>
      <c r="G33" s="224"/>
    </row>
    <row r="34" spans="1:7" x14ac:dyDescent="0.2">
      <c r="A34" s="226"/>
      <c r="B34" s="225"/>
      <c r="E34" s="224"/>
      <c r="F34" s="224"/>
    </row>
    <row r="35" spans="1:7" x14ac:dyDescent="0.2">
      <c r="E35" s="224"/>
      <c r="F35" s="224"/>
    </row>
  </sheetData>
  <pageMargins left="0.7" right="0.7" top="0.75" bottom="0.75" header="0.3" footer="0.3"/>
  <pageSetup paperSize="9" orientation="portrait" r:id="rId1"/>
  <headerFooter>
    <oddHeader>&amp;LVERSIE 16-2-2021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zoomScaleNormal="100" workbookViewId="0">
      <selection activeCell="N23" sqref="N23"/>
    </sheetView>
  </sheetViews>
  <sheetFormatPr defaultColWidth="8.85546875" defaultRowHeight="12.75" x14ac:dyDescent="0.2"/>
  <cols>
    <col min="1" max="1" width="20" style="246" customWidth="1"/>
    <col min="2" max="2" width="20.140625" style="246" bestFit="1" customWidth="1"/>
    <col min="3" max="3" width="19" style="246" customWidth="1"/>
    <col min="4" max="4" width="14.42578125" style="246" bestFit="1" customWidth="1"/>
    <col min="5" max="5" width="13.85546875" style="246" bestFit="1" customWidth="1"/>
    <col min="6" max="6" width="9.140625" style="246" bestFit="1" customWidth="1"/>
    <col min="7" max="7" width="9.7109375" style="246" bestFit="1" customWidth="1"/>
    <col min="8" max="16384" width="8.85546875" style="246"/>
  </cols>
  <sheetData>
    <row r="1" spans="1:8" s="262" customFormat="1" ht="25.5" x14ac:dyDescent="0.2">
      <c r="A1" s="377" t="s">
        <v>105</v>
      </c>
      <c r="B1" s="378" t="s">
        <v>30</v>
      </c>
      <c r="C1" s="378" t="s">
        <v>173</v>
      </c>
      <c r="D1" s="379" t="s">
        <v>8</v>
      </c>
      <c r="E1" s="378" t="s">
        <v>10</v>
      </c>
      <c r="F1" s="378" t="s">
        <v>187</v>
      </c>
      <c r="G1" s="380" t="s">
        <v>188</v>
      </c>
    </row>
    <row r="2" spans="1:8" x14ac:dyDescent="0.2">
      <c r="A2" s="267" t="s">
        <v>106</v>
      </c>
      <c r="B2" s="266">
        <f>E26</f>
        <v>12964.623000000003</v>
      </c>
      <c r="C2" s="260" t="s">
        <v>32</v>
      </c>
      <c r="D2" s="260">
        <v>0</v>
      </c>
      <c r="E2" s="381">
        <f>B2*D2</f>
        <v>0</v>
      </c>
      <c r="F2" s="387" t="s">
        <v>191</v>
      </c>
      <c r="G2" s="390" t="s">
        <v>191</v>
      </c>
    </row>
    <row r="3" spans="1:8" s="262" customFormat="1" ht="25.5" x14ac:dyDescent="0.2">
      <c r="A3" s="265" t="s">
        <v>107</v>
      </c>
      <c r="B3" s="264">
        <v>3745</v>
      </c>
      <c r="C3" s="263" t="s">
        <v>32</v>
      </c>
      <c r="D3" s="263">
        <v>0.52300000000000002</v>
      </c>
      <c r="E3" s="382">
        <f>B3*D3</f>
        <v>1958.635</v>
      </c>
      <c r="F3" s="397">
        <v>20389</v>
      </c>
      <c r="G3" s="391">
        <f>E3/F3</f>
        <v>9.6063318456030208E-2</v>
      </c>
    </row>
    <row r="4" spans="1:8" s="262" customFormat="1" ht="25.5" x14ac:dyDescent="0.2">
      <c r="A4" s="265" t="s">
        <v>174</v>
      </c>
      <c r="B4" s="264">
        <v>8074</v>
      </c>
      <c r="C4" s="263" t="s">
        <v>32</v>
      </c>
      <c r="D4" s="263">
        <v>0.52300000000000002</v>
      </c>
      <c r="E4" s="382">
        <f>B4*D4</f>
        <v>4222.7020000000002</v>
      </c>
      <c r="F4" s="398">
        <v>40400</v>
      </c>
      <c r="G4" s="391">
        <f>E4/F4</f>
        <v>0.10452232673267327</v>
      </c>
    </row>
    <row r="5" spans="1:8" x14ac:dyDescent="0.2">
      <c r="A5" s="261"/>
      <c r="B5" s="257"/>
      <c r="C5" s="260"/>
      <c r="D5" s="260"/>
      <c r="E5" s="383"/>
      <c r="G5" s="393"/>
    </row>
    <row r="6" spans="1:8" s="259" customFormat="1" ht="25.5" x14ac:dyDescent="0.2">
      <c r="A6" s="384" t="s">
        <v>108</v>
      </c>
      <c r="B6" s="385">
        <f>SUM(B2:B4)</f>
        <v>24783.623000000003</v>
      </c>
      <c r="C6" s="385" t="s">
        <v>32</v>
      </c>
      <c r="D6" s="385"/>
      <c r="E6" s="385">
        <f>SUM(E2:E4)</f>
        <v>6181.3370000000004</v>
      </c>
      <c r="F6" s="389" t="s">
        <v>191</v>
      </c>
      <c r="G6" s="389" t="s">
        <v>191</v>
      </c>
    </row>
    <row r="7" spans="1:8" x14ac:dyDescent="0.2">
      <c r="A7" s="258"/>
      <c r="B7" s="257"/>
      <c r="C7" s="258"/>
      <c r="D7" s="258"/>
      <c r="E7" s="257"/>
    </row>
    <row r="8" spans="1:8" x14ac:dyDescent="0.2">
      <c r="A8" s="258"/>
      <c r="B8" s="257"/>
      <c r="C8" s="258"/>
      <c r="D8" s="258"/>
      <c r="E8" s="257"/>
    </row>
    <row r="9" spans="1:8" ht="51" x14ac:dyDescent="0.2">
      <c r="A9" s="139" t="s">
        <v>109</v>
      </c>
      <c r="B9" s="256" t="s">
        <v>110</v>
      </c>
      <c r="C9" s="255"/>
    </row>
    <row r="10" spans="1:8" x14ac:dyDescent="0.2">
      <c r="A10" s="247" t="s">
        <v>33</v>
      </c>
      <c r="B10" s="253">
        <v>2022</v>
      </c>
    </row>
    <row r="11" spans="1:8" ht="25.5" x14ac:dyDescent="0.2">
      <c r="A11" s="249" t="s">
        <v>34</v>
      </c>
      <c r="B11" s="249" t="s">
        <v>35</v>
      </c>
      <c r="C11" s="254" t="s">
        <v>36</v>
      </c>
      <c r="D11" s="249" t="s">
        <v>196</v>
      </c>
      <c r="E11" s="249" t="s">
        <v>197</v>
      </c>
      <c r="F11" s="249"/>
      <c r="H11" s="253"/>
    </row>
    <row r="12" spans="1:8" x14ac:dyDescent="0.2">
      <c r="A12" s="101">
        <v>44562</v>
      </c>
      <c r="B12">
        <v>838.90899999999999</v>
      </c>
      <c r="C12">
        <v>-122.389</v>
      </c>
      <c r="D12" s="396">
        <v>-277290</v>
      </c>
      <c r="E12" s="396">
        <f>D12/1000</f>
        <v>-277.29000000000002</v>
      </c>
    </row>
    <row r="13" spans="1:8" x14ac:dyDescent="0.2">
      <c r="A13" s="101">
        <v>44593</v>
      </c>
      <c r="B13">
        <v>894.52600000000007</v>
      </c>
      <c r="C13">
        <v>-472.536</v>
      </c>
      <c r="D13" s="396">
        <v>-797105</v>
      </c>
      <c r="E13" s="396">
        <f t="shared" ref="E13:E23" si="0">D13/1000</f>
        <v>-797.10500000000002</v>
      </c>
    </row>
    <row r="14" spans="1:8" x14ac:dyDescent="0.2">
      <c r="A14" s="101">
        <v>44621</v>
      </c>
      <c r="B14">
        <v>538.32500000000005</v>
      </c>
      <c r="C14">
        <v>-1761.1679999999999</v>
      </c>
      <c r="D14" s="396">
        <v>-2396175</v>
      </c>
      <c r="E14" s="396">
        <f t="shared" si="0"/>
        <v>-2396.1750000000002</v>
      </c>
    </row>
    <row r="15" spans="1:8" x14ac:dyDescent="0.2">
      <c r="A15" s="101">
        <v>44652</v>
      </c>
      <c r="B15">
        <v>396.00400000000002</v>
      </c>
      <c r="C15">
        <v>-2369.3419999999996</v>
      </c>
      <c r="D15" s="396">
        <v>-2754745</v>
      </c>
      <c r="E15" s="396">
        <f t="shared" si="0"/>
        <v>-2754.7449999999999</v>
      </c>
    </row>
    <row r="16" spans="1:8" x14ac:dyDescent="0.2">
      <c r="A16" s="101">
        <v>44682</v>
      </c>
      <c r="B16">
        <v>274.66399999999999</v>
      </c>
      <c r="C16">
        <v>-2998.6559999999999</v>
      </c>
      <c r="D16" s="396">
        <v>-3531792</v>
      </c>
      <c r="E16" s="396">
        <f t="shared" si="0"/>
        <v>-3531.7919999999999</v>
      </c>
    </row>
    <row r="17" spans="1:5" x14ac:dyDescent="0.2">
      <c r="A17" s="101">
        <v>44713</v>
      </c>
      <c r="B17">
        <v>206.32599999999999</v>
      </c>
      <c r="C17">
        <v>-3232.7080000000001</v>
      </c>
      <c r="D17" s="396">
        <v>-3719170</v>
      </c>
      <c r="E17" s="396">
        <f t="shared" si="0"/>
        <v>-3719.17</v>
      </c>
    </row>
    <row r="18" spans="1:5" x14ac:dyDescent="0.2">
      <c r="A18" s="101">
        <v>44743</v>
      </c>
      <c r="B18">
        <v>324.04700000000003</v>
      </c>
      <c r="C18">
        <v>-3070.7449999999999</v>
      </c>
      <c r="D18" s="396">
        <v>-3666981</v>
      </c>
      <c r="E18" s="396">
        <f t="shared" si="0"/>
        <v>-3666.9810000000002</v>
      </c>
    </row>
    <row r="19" spans="1:5" x14ac:dyDescent="0.2">
      <c r="A19" s="101">
        <v>44774</v>
      </c>
      <c r="B19">
        <v>468.03100000000001</v>
      </c>
      <c r="C19">
        <v>-2810.2690000000002</v>
      </c>
      <c r="D19" s="396">
        <v>-3422146</v>
      </c>
      <c r="E19" s="396">
        <f t="shared" si="0"/>
        <v>-3422.1460000000002</v>
      </c>
    </row>
    <row r="20" spans="1:5" x14ac:dyDescent="0.2">
      <c r="A20" s="101">
        <v>44805</v>
      </c>
      <c r="B20">
        <v>466.18599999999998</v>
      </c>
      <c r="C20">
        <v>-1757.5530000000001</v>
      </c>
      <c r="D20" s="396">
        <v>-2117035</v>
      </c>
      <c r="E20" s="396">
        <f t="shared" si="0"/>
        <v>-2117.0349999999999</v>
      </c>
    </row>
    <row r="21" spans="1:5" x14ac:dyDescent="0.2">
      <c r="A21" s="101">
        <v>44835</v>
      </c>
      <c r="B21">
        <v>898.41399999999999</v>
      </c>
      <c r="C21">
        <v>-777.88900000000001</v>
      </c>
      <c r="D21" s="396">
        <v>-1179078</v>
      </c>
      <c r="E21" s="396">
        <f t="shared" si="0"/>
        <v>-1179.078</v>
      </c>
    </row>
    <row r="22" spans="1:5" x14ac:dyDescent="0.2">
      <c r="A22" s="101">
        <v>44866</v>
      </c>
      <c r="B22">
        <v>1128.241</v>
      </c>
      <c r="C22">
        <v>-239.91399999999999</v>
      </c>
      <c r="D22" s="396">
        <v>-519418</v>
      </c>
      <c r="E22" s="396">
        <f t="shared" si="0"/>
        <v>-519.41800000000001</v>
      </c>
    </row>
    <row r="23" spans="1:5" x14ac:dyDescent="0.2">
      <c r="A23" s="101">
        <v>44896</v>
      </c>
      <c r="B23">
        <v>1572.597</v>
      </c>
      <c r="C23">
        <v>-42.393000000000001</v>
      </c>
      <c r="D23" s="396">
        <v>-232980</v>
      </c>
      <c r="E23" s="246">
        <f t="shared" si="0"/>
        <v>-232.98</v>
      </c>
    </row>
    <row r="24" spans="1:5" x14ac:dyDescent="0.2">
      <c r="D24" s="246">
        <v>24613915</v>
      </c>
    </row>
    <row r="26" spans="1:5" x14ac:dyDescent="0.2">
      <c r="A26" s="247" t="s">
        <v>61</v>
      </c>
      <c r="B26" s="251">
        <f>SUM(B12:B23)</f>
        <v>8006.2699999999995</v>
      </c>
      <c r="C26" s="251">
        <f>SUM(C12:C23)</f>
        <v>-19655.561999999998</v>
      </c>
      <c r="D26" s="246">
        <f>D24/1000</f>
        <v>24613.915000000001</v>
      </c>
      <c r="E26" s="251">
        <f>B26+(C26+D26)</f>
        <v>12964.623000000003</v>
      </c>
    </row>
    <row r="27" spans="1:5" x14ac:dyDescent="0.2">
      <c r="B27" s="250" t="s">
        <v>38</v>
      </c>
      <c r="C27" s="250" t="s">
        <v>39</v>
      </c>
      <c r="D27" s="249" t="s">
        <v>37</v>
      </c>
      <c r="E27" s="248" t="s">
        <v>62</v>
      </c>
    </row>
    <row r="29" spans="1:5" x14ac:dyDescent="0.2">
      <c r="A29" s="246" t="s">
        <v>41</v>
      </c>
      <c r="B29" s="247" t="s">
        <v>195</v>
      </c>
    </row>
  </sheetData>
  <pageMargins left="0.7" right="0.7" top="0.75" bottom="0.75" header="0.3" footer="0.3"/>
  <pageSetup paperSize="9" orientation="portrait" r:id="rId1"/>
  <headerFooter>
    <oddHeader>&amp;LLaatst bijgewerkt op 22 januari 2021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view="pageLayout" zoomScaleNormal="100" workbookViewId="0">
      <selection activeCell="E48" sqref="E48"/>
    </sheetView>
  </sheetViews>
  <sheetFormatPr defaultColWidth="8.85546875" defaultRowHeight="12.75" x14ac:dyDescent="0.2"/>
  <cols>
    <col min="1" max="1" width="26.7109375" style="210" bestFit="1" customWidth="1"/>
    <col min="2" max="2" width="10.42578125" style="210" customWidth="1"/>
    <col min="3" max="3" width="8.140625" style="210" bestFit="1" customWidth="1"/>
    <col min="4" max="16384" width="8.85546875" style="210"/>
  </cols>
  <sheetData>
    <row r="1" spans="1:3" ht="15.75" x14ac:dyDescent="0.25">
      <c r="A1" s="221" t="s">
        <v>101</v>
      </c>
      <c r="B1" s="359" t="s">
        <v>203</v>
      </c>
    </row>
    <row r="2" spans="1:3" x14ac:dyDescent="0.2">
      <c r="A2" s="222"/>
      <c r="B2" s="9"/>
    </row>
    <row r="3" spans="1:3" x14ac:dyDescent="0.2">
      <c r="A3" s="10" t="s">
        <v>8</v>
      </c>
      <c r="B3" s="210">
        <v>25.37</v>
      </c>
    </row>
    <row r="4" spans="1:3" ht="15.75" x14ac:dyDescent="0.25">
      <c r="A4" s="221"/>
    </row>
    <row r="5" spans="1:3" x14ac:dyDescent="0.2">
      <c r="A5" s="220"/>
      <c r="B5" s="219" t="s">
        <v>103</v>
      </c>
      <c r="C5" s="218" t="s">
        <v>10</v>
      </c>
    </row>
    <row r="6" spans="1:3" x14ac:dyDescent="0.2">
      <c r="A6" s="216" t="s">
        <v>104</v>
      </c>
      <c r="B6" s="215">
        <v>36.828000000000003</v>
      </c>
      <c r="C6" s="217">
        <f>B6*B3</f>
        <v>934.32636000000014</v>
      </c>
    </row>
    <row r="7" spans="1:3" x14ac:dyDescent="0.2">
      <c r="A7" s="216"/>
      <c r="B7" s="215"/>
      <c r="C7" s="214"/>
    </row>
    <row r="8" spans="1:3" x14ac:dyDescent="0.2">
      <c r="A8" s="213" t="s">
        <v>12</v>
      </c>
      <c r="B8" s="212">
        <f>B6</f>
        <v>36.828000000000003</v>
      </c>
      <c r="C8" s="211">
        <f>C6</f>
        <v>934.32636000000014</v>
      </c>
    </row>
  </sheetData>
  <pageMargins left="0.7" right="0.7" top="0.75" bottom="0.75" header="0.3" footer="0.3"/>
  <pageSetup paperSize="9" orientation="portrait" r:id="rId1"/>
  <headerFooter>
    <oddHeader>&amp;LLaatst bijgewerkt op 23 januari 2023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97"/>
  <sheetViews>
    <sheetView topLeftCell="A72" zoomScale="110" zoomScaleNormal="110" zoomScaleSheetLayoutView="100" zoomScalePageLayoutView="80" workbookViewId="0">
      <selection activeCell="I91" sqref="I91"/>
    </sheetView>
  </sheetViews>
  <sheetFormatPr defaultColWidth="8.85546875" defaultRowHeight="12.75" x14ac:dyDescent="0.2"/>
  <cols>
    <col min="1" max="1" width="21" style="246" customWidth="1"/>
    <col min="2" max="4" width="8.85546875" style="246"/>
    <col min="5" max="5" width="10.7109375" style="246" bestFit="1" customWidth="1"/>
    <col min="6" max="8" width="8.85546875" style="246"/>
    <col min="9" max="9" width="22.42578125" style="246" customWidth="1"/>
    <col min="10" max="10" width="12.140625" style="246" customWidth="1"/>
    <col min="11" max="12" width="8.85546875" style="246"/>
    <col min="13" max="13" width="11.85546875" style="246" bestFit="1" customWidth="1"/>
    <col min="14" max="14" width="8.85546875" style="246"/>
    <col min="15" max="15" width="10.7109375" style="246" bestFit="1" customWidth="1"/>
    <col min="16" max="18" width="8.85546875" style="246"/>
    <col min="19" max="19" width="10.7109375" style="246" bestFit="1" customWidth="1"/>
    <col min="20" max="16384" width="8.85546875" style="246"/>
  </cols>
  <sheetData>
    <row r="2" spans="1:15" ht="23.25" x14ac:dyDescent="0.2">
      <c r="A2" s="411">
        <v>2017</v>
      </c>
      <c r="B2" s="411"/>
      <c r="C2" s="411"/>
      <c r="D2" s="411"/>
      <c r="E2" s="411"/>
      <c r="F2" s="411"/>
      <c r="G2" s="411"/>
    </row>
    <row r="3" spans="1:15" ht="14.25" x14ac:dyDescent="0.2">
      <c r="A3" s="279" t="s">
        <v>44</v>
      </c>
      <c r="B3" s="277"/>
      <c r="C3" s="277"/>
      <c r="D3" s="300"/>
      <c r="E3" s="277"/>
      <c r="F3" s="300"/>
      <c r="G3" s="300"/>
    </row>
    <row r="4" spans="1:15" x14ac:dyDescent="0.2">
      <c r="A4" s="273" t="s">
        <v>45</v>
      </c>
      <c r="B4" s="273"/>
      <c r="C4" s="273"/>
      <c r="D4" s="273"/>
      <c r="E4" s="273"/>
      <c r="F4" s="273"/>
      <c r="G4" s="273"/>
    </row>
    <row r="5" spans="1:15" x14ac:dyDescent="0.2">
      <c r="A5" s="268" t="s">
        <v>13</v>
      </c>
      <c r="B5" s="291">
        <f>'[2]Dieselolie 2017'!B8</f>
        <v>33037</v>
      </c>
      <c r="C5" s="268" t="s">
        <v>46</v>
      </c>
      <c r="D5" s="270"/>
      <c r="E5" s="284">
        <f>'[2]Dieselolie 2017'!C8</f>
        <v>109319.433</v>
      </c>
      <c r="F5" s="268" t="s">
        <v>10</v>
      </c>
      <c r="G5" s="283">
        <f>E5/$E$12</f>
        <v>0.9031100844827582</v>
      </c>
    </row>
    <row r="6" spans="1:15" x14ac:dyDescent="0.2">
      <c r="A6" s="268" t="s">
        <v>47</v>
      </c>
      <c r="B6" s="291">
        <f>'[2]Euro 95 2017'!B8</f>
        <v>4066.68</v>
      </c>
      <c r="C6" s="268" t="s">
        <v>46</v>
      </c>
      <c r="D6" s="270"/>
      <c r="E6" s="284">
        <f>'[2]Euro 95 2017'!C8</f>
        <v>11728.305119999999</v>
      </c>
      <c r="F6" s="268" t="s">
        <v>10</v>
      </c>
      <c r="G6" s="283">
        <f>E6/$E$12</f>
        <v>9.6889915517241701E-2</v>
      </c>
    </row>
    <row r="7" spans="1:15" x14ac:dyDescent="0.2">
      <c r="A7" s="414" t="s">
        <v>48</v>
      </c>
      <c r="B7" s="414"/>
      <c r="C7" s="414"/>
      <c r="D7" s="414"/>
      <c r="E7" s="278">
        <f>SUM(E5:E6)</f>
        <v>121047.73812000001</v>
      </c>
      <c r="F7" s="277" t="s">
        <v>10</v>
      </c>
      <c r="G7" s="281">
        <f>E7/$E$12</f>
        <v>1</v>
      </c>
    </row>
    <row r="8" spans="1:15" x14ac:dyDescent="0.2">
      <c r="A8" s="273" t="s">
        <v>49</v>
      </c>
      <c r="B8" s="273"/>
      <c r="C8" s="273"/>
      <c r="D8" s="273"/>
      <c r="E8" s="273"/>
      <c r="F8" s="273"/>
      <c r="G8" s="273"/>
    </row>
    <row r="9" spans="1:15" x14ac:dyDescent="0.2">
      <c r="A9" s="268" t="s">
        <v>50</v>
      </c>
      <c r="B9" s="284">
        <f>'[2]Elektra 2017'!B2</f>
        <v>18802.404999999999</v>
      </c>
      <c r="C9" s="268" t="s">
        <v>32</v>
      </c>
      <c r="D9" s="270"/>
      <c r="E9" s="284">
        <f>'[2]Elektra 2017'!D2</f>
        <v>0</v>
      </c>
      <c r="F9" s="268" t="s">
        <v>10</v>
      </c>
      <c r="G9" s="283">
        <f>E9/E12</f>
        <v>0</v>
      </c>
    </row>
    <row r="10" spans="1:15" x14ac:dyDescent="0.2">
      <c r="A10" s="414" t="s">
        <v>48</v>
      </c>
      <c r="B10" s="414"/>
      <c r="C10" s="414"/>
      <c r="D10" s="414"/>
      <c r="E10" s="278">
        <f>SUM(E9:E9)</f>
        <v>0</v>
      </c>
      <c r="F10" s="277" t="s">
        <v>10</v>
      </c>
      <c r="G10" s="281">
        <f>E10/E12</f>
        <v>0</v>
      </c>
    </row>
    <row r="11" spans="1:15" x14ac:dyDescent="0.2">
      <c r="A11" s="273" t="s">
        <v>12</v>
      </c>
      <c r="B11" s="273"/>
      <c r="C11" s="273"/>
      <c r="D11" s="273"/>
      <c r="E11" s="273"/>
      <c r="F11" s="273"/>
      <c r="G11" s="273"/>
    </row>
    <row r="12" spans="1:15" x14ac:dyDescent="0.2">
      <c r="A12" s="279"/>
      <c r="B12" s="279"/>
      <c r="C12" s="279"/>
      <c r="D12" s="269" t="s">
        <v>51</v>
      </c>
      <c r="E12" s="278">
        <f>E10+E7</f>
        <v>121047.73812000001</v>
      </c>
      <c r="F12" s="277" t="s">
        <v>10</v>
      </c>
      <c r="G12" s="276">
        <f>G7+G10</f>
        <v>1</v>
      </c>
    </row>
    <row r="13" spans="1:15" ht="14.25" x14ac:dyDescent="0.2">
      <c r="A13" s="300"/>
      <c r="B13" s="300"/>
      <c r="C13" s="300"/>
      <c r="D13" s="300"/>
      <c r="E13" s="300"/>
      <c r="F13" s="300"/>
      <c r="G13" s="300"/>
    </row>
    <row r="14" spans="1:15" ht="23.25" x14ac:dyDescent="0.2">
      <c r="A14" s="411">
        <v>2018</v>
      </c>
      <c r="B14" s="411"/>
      <c r="C14" s="411"/>
      <c r="D14" s="411"/>
      <c r="E14" s="411"/>
      <c r="F14" s="411"/>
      <c r="G14" s="411"/>
      <c r="I14" s="411" t="s">
        <v>138</v>
      </c>
      <c r="J14" s="411"/>
      <c r="K14" s="411"/>
      <c r="L14" s="411"/>
      <c r="M14" s="411"/>
      <c r="N14" s="411"/>
      <c r="O14" s="411"/>
    </row>
    <row r="15" spans="1:15" ht="14.25" x14ac:dyDescent="0.2">
      <c r="A15" s="279" t="s">
        <v>44</v>
      </c>
      <c r="B15" s="277"/>
      <c r="C15" s="277"/>
      <c r="D15" s="300"/>
      <c r="E15" s="277"/>
      <c r="F15" s="300"/>
      <c r="G15" s="300"/>
    </row>
    <row r="16" spans="1:15" x14ac:dyDescent="0.2">
      <c r="A16" s="412" t="s">
        <v>45</v>
      </c>
      <c r="B16" s="413"/>
      <c r="C16" s="413"/>
      <c r="D16" s="413"/>
      <c r="E16" s="413"/>
      <c r="F16" s="413"/>
      <c r="G16" s="413"/>
      <c r="I16" s="412" t="s">
        <v>45</v>
      </c>
      <c r="J16" s="413"/>
      <c r="K16" s="413"/>
      <c r="L16" s="413"/>
      <c r="M16" s="413"/>
      <c r="N16" s="413"/>
      <c r="O16" s="413"/>
    </row>
    <row r="17" spans="1:15" x14ac:dyDescent="0.2">
      <c r="A17" s="268" t="s">
        <v>13</v>
      </c>
      <c r="B17" s="291">
        <f>'[2]CO2-footprint 2018'!B5</f>
        <v>45653.87</v>
      </c>
      <c r="C17" s="268" t="s">
        <v>46</v>
      </c>
      <c r="D17" s="270"/>
      <c r="E17" s="284">
        <f>'[2]CO2-footprint 2018'!E5</f>
        <v>151068.65583</v>
      </c>
      <c r="F17" s="268" t="s">
        <v>10</v>
      </c>
      <c r="G17" s="283">
        <f>E17/$E$24</f>
        <v>0.84262107643704198</v>
      </c>
      <c r="I17" s="246" t="s">
        <v>13</v>
      </c>
      <c r="J17" s="275">
        <f>B17-B5</f>
        <v>12616.870000000003</v>
      </c>
      <c r="K17" s="246" t="s">
        <v>46</v>
      </c>
      <c r="M17" s="284">
        <f>E17-E5</f>
        <v>41749.222829999999</v>
      </c>
      <c r="N17" s="246" t="s">
        <v>10</v>
      </c>
      <c r="O17" s="247" t="s">
        <v>139</v>
      </c>
    </row>
    <row r="18" spans="1:15" x14ac:dyDescent="0.2">
      <c r="A18" s="268" t="s">
        <v>47</v>
      </c>
      <c r="B18" s="291">
        <f>'[2]CO2-footprint 2018'!B6</f>
        <v>9783.48</v>
      </c>
      <c r="C18" s="268" t="s">
        <v>46</v>
      </c>
      <c r="D18" s="270"/>
      <c r="E18" s="284">
        <f>'[2]CO2-footprint 2018'!E6</f>
        <v>28215.556319999996</v>
      </c>
      <c r="F18" s="268" t="s">
        <v>10</v>
      </c>
      <c r="G18" s="283">
        <f>E18/$E$24</f>
        <v>0.15737892356295799</v>
      </c>
      <c r="I18" s="246" t="s">
        <v>47</v>
      </c>
      <c r="J18" s="299">
        <f>B18-B6</f>
        <v>5716.7999999999993</v>
      </c>
      <c r="K18" s="246" t="s">
        <v>46</v>
      </c>
      <c r="M18" s="284">
        <f>E18-E6</f>
        <v>16487.251199999999</v>
      </c>
      <c r="N18" s="246" t="s">
        <v>10</v>
      </c>
      <c r="O18" s="247" t="s">
        <v>139</v>
      </c>
    </row>
    <row r="19" spans="1:15" x14ac:dyDescent="0.2">
      <c r="A19" s="414" t="s">
        <v>48</v>
      </c>
      <c r="B19" s="414"/>
      <c r="C19" s="414"/>
      <c r="D19" s="414"/>
      <c r="E19" s="278">
        <f>SUM(E17:E18)</f>
        <v>179284.21215000001</v>
      </c>
      <c r="F19" s="277" t="s">
        <v>10</v>
      </c>
      <c r="G19" s="281">
        <f>E19/$E$24</f>
        <v>1</v>
      </c>
      <c r="I19" s="246" t="s">
        <v>48</v>
      </c>
      <c r="M19" s="284">
        <f>E19-E7</f>
        <v>58236.474029999998</v>
      </c>
      <c r="N19" s="246" t="s">
        <v>10</v>
      </c>
      <c r="O19" s="247" t="s">
        <v>139</v>
      </c>
    </row>
    <row r="20" spans="1:15" x14ac:dyDescent="0.2">
      <c r="A20" s="273" t="s">
        <v>49</v>
      </c>
      <c r="B20" s="273"/>
      <c r="C20" s="273"/>
      <c r="D20" s="273"/>
      <c r="E20" s="273"/>
      <c r="F20" s="273"/>
      <c r="G20" s="273"/>
      <c r="I20" s="412" t="s">
        <v>49</v>
      </c>
      <c r="J20" s="413"/>
      <c r="K20" s="413"/>
      <c r="L20" s="413"/>
      <c r="M20" s="413"/>
      <c r="N20" s="413"/>
      <c r="O20" s="413"/>
    </row>
    <row r="21" spans="1:15" x14ac:dyDescent="0.2">
      <c r="A21" s="268" t="s">
        <v>64</v>
      </c>
      <c r="B21" s="284">
        <f>'[2]Elektra 2018'!B14</f>
        <v>550.45699999999999</v>
      </c>
      <c r="C21" s="268" t="s">
        <v>32</v>
      </c>
      <c r="D21" s="258"/>
      <c r="E21" s="284">
        <f>'Elektra 2018'!E2</f>
        <v>0</v>
      </c>
      <c r="F21" s="268" t="s">
        <v>10</v>
      </c>
      <c r="G21" s="283">
        <f>E21/E24</f>
        <v>0</v>
      </c>
      <c r="I21" s="246" t="s">
        <v>64</v>
      </c>
      <c r="J21" s="275">
        <f>B21-B9</f>
        <v>-18251.948</v>
      </c>
      <c r="K21" s="246" t="s">
        <v>32</v>
      </c>
      <c r="M21" s="246">
        <v>0</v>
      </c>
      <c r="N21" s="246" t="s">
        <v>10</v>
      </c>
      <c r="O21" s="246" t="s">
        <v>140</v>
      </c>
    </row>
    <row r="22" spans="1:15" x14ac:dyDescent="0.2">
      <c r="A22" s="414" t="s">
        <v>48</v>
      </c>
      <c r="B22" s="414"/>
      <c r="C22" s="414"/>
      <c r="D22" s="414"/>
      <c r="E22" s="278">
        <f>SUM(E21:E21)</f>
        <v>0</v>
      </c>
      <c r="F22" s="277" t="s">
        <v>10</v>
      </c>
      <c r="G22" s="281">
        <f>E22/E24</f>
        <v>0</v>
      </c>
      <c r="I22" s="246" t="s">
        <v>48</v>
      </c>
      <c r="M22" s="246">
        <v>0</v>
      </c>
      <c r="N22" s="246" t="s">
        <v>10</v>
      </c>
    </row>
    <row r="23" spans="1:15" x14ac:dyDescent="0.2">
      <c r="A23" s="273" t="s">
        <v>12</v>
      </c>
      <c r="B23" s="273"/>
      <c r="C23" s="273"/>
      <c r="D23" s="273"/>
      <c r="E23" s="273"/>
      <c r="F23" s="273"/>
      <c r="G23" s="273"/>
    </row>
    <row r="24" spans="1:15" x14ac:dyDescent="0.2">
      <c r="A24" s="279"/>
      <c r="B24" s="279"/>
      <c r="C24" s="279"/>
      <c r="D24" s="269" t="s">
        <v>51</v>
      </c>
      <c r="E24" s="278">
        <f>E22+E19</f>
        <v>179284.21215000001</v>
      </c>
      <c r="F24" s="277" t="s">
        <v>10</v>
      </c>
      <c r="G24" s="276">
        <f>G19+G22</f>
        <v>1</v>
      </c>
      <c r="I24" s="246" t="s">
        <v>48</v>
      </c>
      <c r="M24" s="298">
        <f>E24-E12</f>
        <v>58236.474029999998</v>
      </c>
      <c r="N24" s="246" t="s">
        <v>10</v>
      </c>
      <c r="O24" s="247" t="s">
        <v>139</v>
      </c>
    </row>
    <row r="26" spans="1:15" x14ac:dyDescent="0.2">
      <c r="M26" s="297">
        <f>(E24-E12)/E12</f>
        <v>0.48110336413116278</v>
      </c>
      <c r="N26" s="271" t="s">
        <v>141</v>
      </c>
    </row>
    <row r="28" spans="1:15" ht="23.25" x14ac:dyDescent="0.2">
      <c r="A28" s="411">
        <v>2019</v>
      </c>
      <c r="B28" s="411"/>
      <c r="C28" s="411"/>
      <c r="D28" s="411"/>
      <c r="E28" s="411"/>
      <c r="F28" s="411"/>
      <c r="G28" s="411"/>
      <c r="I28" s="411" t="s">
        <v>142</v>
      </c>
      <c r="J28" s="411"/>
      <c r="K28" s="411"/>
      <c r="L28" s="411"/>
      <c r="M28" s="411"/>
      <c r="N28" s="411"/>
      <c r="O28" s="411"/>
    </row>
    <row r="29" spans="1:15" ht="12.75" customHeight="1" x14ac:dyDescent="0.2">
      <c r="A29" s="279" t="s">
        <v>44</v>
      </c>
      <c r="I29" s="279" t="s">
        <v>44</v>
      </c>
    </row>
    <row r="30" spans="1:15" ht="12.75" customHeight="1" x14ac:dyDescent="0.2">
      <c r="A30" s="412" t="s">
        <v>45</v>
      </c>
      <c r="B30" s="413"/>
      <c r="C30" s="413"/>
      <c r="D30" s="413"/>
      <c r="E30" s="413"/>
      <c r="F30" s="413"/>
      <c r="G30" s="413"/>
      <c r="I30" s="412" t="s">
        <v>45</v>
      </c>
      <c r="J30" s="413"/>
      <c r="K30" s="413"/>
      <c r="L30" s="413"/>
      <c r="M30" s="413"/>
      <c r="N30" s="413"/>
      <c r="O30" s="413"/>
    </row>
    <row r="31" spans="1:15" x14ac:dyDescent="0.2">
      <c r="A31" s="246" t="s">
        <v>13</v>
      </c>
      <c r="B31" s="291">
        <v>44030.22</v>
      </c>
      <c r="C31" s="246" t="s">
        <v>46</v>
      </c>
      <c r="E31" s="291">
        <f>'[2]CO-2 Footprint 2019'!E5</f>
        <v>145451.85996</v>
      </c>
      <c r="F31" s="246" t="s">
        <v>10</v>
      </c>
      <c r="G31" s="283">
        <f>'[2]CO-2 Footprint 2019'!G5</f>
        <v>0.80515360495708821</v>
      </c>
      <c r="I31" s="246" t="s">
        <v>13</v>
      </c>
      <c r="J31" s="275">
        <f>B31-B17</f>
        <v>-1623.6500000000015</v>
      </c>
      <c r="K31" s="268" t="s">
        <v>46</v>
      </c>
      <c r="M31" s="275">
        <f>E31-E17</f>
        <v>-5616.7958700000017</v>
      </c>
      <c r="N31" s="246" t="s">
        <v>10</v>
      </c>
      <c r="O31" s="247" t="s">
        <v>143</v>
      </c>
    </row>
    <row r="32" spans="1:15" x14ac:dyDescent="0.2">
      <c r="A32" s="246" t="s">
        <v>47</v>
      </c>
      <c r="B32" s="291">
        <v>10075.57</v>
      </c>
      <c r="C32" s="246" t="s">
        <v>46</v>
      </c>
      <c r="E32" s="291">
        <f>'[2]CO-2 Footprint 2019'!E6</f>
        <v>29057.943879999999</v>
      </c>
      <c r="F32" s="246" t="s">
        <v>10</v>
      </c>
      <c r="G32" s="283">
        <f>'[2]CO-2 Footprint 2019'!G6</f>
        <v>0.16085121409968087</v>
      </c>
      <c r="I32" s="246" t="s">
        <v>47</v>
      </c>
      <c r="J32" s="275">
        <f>B32-B18</f>
        <v>292.09000000000015</v>
      </c>
      <c r="K32" s="268" t="s">
        <v>46</v>
      </c>
      <c r="M32" s="275">
        <f>E32-E18</f>
        <v>842.38756000000285</v>
      </c>
      <c r="N32" s="246" t="s">
        <v>10</v>
      </c>
      <c r="O32" s="247" t="s">
        <v>144</v>
      </c>
    </row>
    <row r="33" spans="1:15" s="282" customFormat="1" x14ac:dyDescent="0.2">
      <c r="A33" s="289" t="s">
        <v>112</v>
      </c>
      <c r="B33" s="296">
        <f>'[2]CO-2 Footprint 2019'!B7</f>
        <v>396.4</v>
      </c>
      <c r="E33" s="296">
        <f>'[2]CO-2 Footprint 2019'!E7</f>
        <v>1143.2175999999999</v>
      </c>
      <c r="F33" s="282" t="s">
        <v>10</v>
      </c>
      <c r="G33" s="295">
        <f>'[2]CO-2 Footprint 2019'!G7</f>
        <v>6.3283190200766302E-3</v>
      </c>
      <c r="I33" s="290" t="s">
        <v>112</v>
      </c>
      <c r="J33" s="287">
        <f>B33</f>
        <v>396.4</v>
      </c>
      <c r="K33" s="289"/>
      <c r="M33" s="287">
        <f>E33</f>
        <v>1143.2175999999999</v>
      </c>
      <c r="N33" s="282" t="s">
        <v>10</v>
      </c>
      <c r="O33" s="286" t="s">
        <v>144</v>
      </c>
    </row>
    <row r="34" spans="1:15" x14ac:dyDescent="0.2">
      <c r="D34" s="271" t="s">
        <v>48</v>
      </c>
      <c r="E34" s="294">
        <f>'[2]CO-2 Footprint 2019'!E9</f>
        <v>175653.02144000001</v>
      </c>
      <c r="F34" s="271" t="s">
        <v>10</v>
      </c>
      <c r="G34" s="281">
        <f>'[2]CO-2 Footprint 2019'!G9</f>
        <v>0.97233313807684585</v>
      </c>
      <c r="J34" s="275"/>
      <c r="L34" s="271" t="s">
        <v>48</v>
      </c>
      <c r="M34" s="280">
        <f>E34-E19</f>
        <v>-3631.1907099999953</v>
      </c>
      <c r="N34" s="271" t="s">
        <v>10</v>
      </c>
      <c r="O34" s="247" t="s">
        <v>144</v>
      </c>
    </row>
    <row r="35" spans="1:15" x14ac:dyDescent="0.2">
      <c r="A35" s="412" t="s">
        <v>49</v>
      </c>
      <c r="B35" s="413"/>
      <c r="C35" s="413"/>
      <c r="D35" s="413"/>
      <c r="E35" s="413"/>
      <c r="F35" s="413"/>
      <c r="G35" s="413"/>
      <c r="I35" s="412" t="s">
        <v>49</v>
      </c>
      <c r="J35" s="413"/>
      <c r="K35" s="413"/>
      <c r="L35" s="413"/>
      <c r="M35" s="413"/>
      <c r="N35" s="413"/>
      <c r="O35" s="413"/>
    </row>
    <row r="36" spans="1:15" x14ac:dyDescent="0.2">
      <c r="A36" s="246" t="s">
        <v>31</v>
      </c>
      <c r="B36" s="291">
        <v>10609.587</v>
      </c>
      <c r="C36" s="246" t="s">
        <v>32</v>
      </c>
      <c r="E36" s="246">
        <v>0</v>
      </c>
      <c r="F36" s="246" t="s">
        <v>10</v>
      </c>
      <c r="G36" s="283">
        <f>'[2]CO-2 Footprint 2019'!G11</f>
        <v>0</v>
      </c>
      <c r="I36" s="246" t="s">
        <v>31</v>
      </c>
      <c r="J36" s="275">
        <f>B36-B21</f>
        <v>10059.129999999999</v>
      </c>
      <c r="M36" s="246">
        <v>0</v>
      </c>
      <c r="N36" s="246" t="s">
        <v>10</v>
      </c>
    </row>
    <row r="37" spans="1:15" s="282" customFormat="1" ht="25.5" x14ac:dyDescent="0.2">
      <c r="A37" s="288" t="s">
        <v>145</v>
      </c>
      <c r="B37" s="296">
        <v>4705.76</v>
      </c>
      <c r="C37" s="282" t="s">
        <v>32</v>
      </c>
      <c r="E37" s="296">
        <f>'[2]CO-2 Footprint 2019'!E12</f>
        <v>2616.4025600000004</v>
      </c>
      <c r="F37" s="282" t="s">
        <v>10</v>
      </c>
      <c r="G37" s="295">
        <f>'[2]CO-2 Footprint 2019'!G12</f>
        <v>1.4483183328025383E-2</v>
      </c>
      <c r="I37" s="288" t="s">
        <v>145</v>
      </c>
      <c r="J37" s="287">
        <f>B37</f>
        <v>4705.76</v>
      </c>
      <c r="M37" s="287">
        <f>E37</f>
        <v>2616.4025600000004</v>
      </c>
      <c r="N37" s="282" t="s">
        <v>10</v>
      </c>
      <c r="O37" s="286" t="s">
        <v>144</v>
      </c>
    </row>
    <row r="38" spans="1:15" x14ac:dyDescent="0.2">
      <c r="A38" s="246" t="str">
        <f>'[2]CO-2 Footprint 2019'!A13</f>
        <v>Stadswarmte</v>
      </c>
      <c r="B38" s="275">
        <f>'[2]CO-2 Footprint 2019'!B13</f>
        <v>66.212000000000003</v>
      </c>
      <c r="C38" s="246" t="str">
        <f>'[2]CO-2 Footprint 2019'!C13</f>
        <v>GJ</v>
      </c>
      <c r="E38" s="275">
        <f>'[2]CO-2 Footprint 2019'!E13</f>
        <v>2381.6456400000002</v>
      </c>
      <c r="F38" s="246" t="s">
        <v>10</v>
      </c>
      <c r="G38" s="272">
        <f>'[2]CO-2 Footprint 2019'!G13</f>
        <v>1.3183678595128855E-2</v>
      </c>
      <c r="I38" s="246" t="s">
        <v>146</v>
      </c>
    </row>
    <row r="39" spans="1:15" x14ac:dyDescent="0.2">
      <c r="D39" s="271" t="s">
        <v>48</v>
      </c>
      <c r="E39" s="294">
        <f>'[2]CO-2 Footprint 2019'!E14</f>
        <v>4998.0482000000011</v>
      </c>
      <c r="F39" s="271" t="s">
        <v>10</v>
      </c>
      <c r="G39" s="281">
        <f>'[2]CO-2 Footprint 2019'!G14</f>
        <v>2.7666861923154241E-2</v>
      </c>
      <c r="L39" s="271" t="s">
        <v>48</v>
      </c>
      <c r="M39" s="280">
        <f>E39</f>
        <v>4998.0482000000011</v>
      </c>
      <c r="N39" s="271" t="s">
        <v>10</v>
      </c>
      <c r="O39" s="247" t="s">
        <v>144</v>
      </c>
    </row>
    <row r="40" spans="1:15" x14ac:dyDescent="0.2">
      <c r="A40" s="412" t="s">
        <v>12</v>
      </c>
      <c r="B40" s="413"/>
      <c r="C40" s="413"/>
      <c r="D40" s="413"/>
      <c r="E40" s="413"/>
      <c r="F40" s="413"/>
      <c r="G40" s="413"/>
      <c r="I40" s="412" t="s">
        <v>12</v>
      </c>
      <c r="J40" s="413"/>
      <c r="K40" s="413"/>
      <c r="L40" s="413"/>
      <c r="M40" s="413"/>
      <c r="N40" s="413"/>
      <c r="O40" s="413"/>
    </row>
    <row r="41" spans="1:15" x14ac:dyDescent="0.2">
      <c r="D41" s="293" t="s">
        <v>51</v>
      </c>
      <c r="E41" s="280">
        <f>'[2]CO-2 Footprint 2019'!E16</f>
        <v>180651.06964</v>
      </c>
      <c r="F41" s="246" t="s">
        <v>10</v>
      </c>
      <c r="G41" s="292">
        <f>G34+G39</f>
        <v>1</v>
      </c>
      <c r="M41" s="275">
        <f>E41-E24</f>
        <v>1366.8574899999949</v>
      </c>
      <c r="N41" s="271" t="s">
        <v>10</v>
      </c>
      <c r="O41" s="274">
        <f>M41/E24</f>
        <v>7.6239701957493012E-3</v>
      </c>
    </row>
    <row r="43" spans="1:15" x14ac:dyDescent="0.2">
      <c r="M43" s="272">
        <v>4.0000000000000001E-3</v>
      </c>
      <c r="N43" s="271" t="s">
        <v>147</v>
      </c>
    </row>
    <row r="44" spans="1:15" ht="23.25" x14ac:dyDescent="0.2">
      <c r="A44" s="411">
        <v>2020</v>
      </c>
      <c r="B44" s="411"/>
      <c r="C44" s="411"/>
      <c r="D44" s="411"/>
      <c r="E44" s="411"/>
      <c r="F44" s="411"/>
      <c r="G44" s="411"/>
      <c r="I44" s="411" t="s">
        <v>148</v>
      </c>
      <c r="J44" s="411"/>
      <c r="K44" s="411"/>
      <c r="L44" s="411"/>
      <c r="M44" s="411"/>
      <c r="N44" s="411"/>
      <c r="O44" s="411"/>
    </row>
    <row r="45" spans="1:15" x14ac:dyDescent="0.2">
      <c r="A45" s="415" t="s">
        <v>44</v>
      </c>
      <c r="B45" s="413"/>
      <c r="C45" s="413"/>
      <c r="D45" s="413"/>
      <c r="E45" s="413"/>
      <c r="F45" s="413"/>
      <c r="G45" s="413"/>
      <c r="I45" s="279" t="s">
        <v>44</v>
      </c>
    </row>
    <row r="46" spans="1:15" x14ac:dyDescent="0.2">
      <c r="A46" s="273" t="s">
        <v>45</v>
      </c>
      <c r="B46" s="273"/>
      <c r="C46" s="273"/>
      <c r="D46" s="273"/>
      <c r="E46" s="273"/>
      <c r="F46" s="273"/>
      <c r="G46" s="273"/>
      <c r="I46" s="412" t="s">
        <v>45</v>
      </c>
      <c r="J46" s="413"/>
      <c r="K46" s="413"/>
      <c r="L46" s="413"/>
      <c r="M46" s="413"/>
      <c r="N46" s="413"/>
      <c r="O46" s="413"/>
    </row>
    <row r="47" spans="1:15" x14ac:dyDescent="0.2">
      <c r="A47" s="268" t="s">
        <v>13</v>
      </c>
      <c r="B47" s="291">
        <f>'[2]CO-2 Footprint 2020'!B5</f>
        <v>38363.590000000004</v>
      </c>
      <c r="C47" s="268" t="s">
        <v>46</v>
      </c>
      <c r="D47" s="270"/>
      <c r="E47" s="284">
        <f>'[2]CO-2 Footprint 2020'!E5</f>
        <v>125142.03058000001</v>
      </c>
      <c r="F47" s="268" t="s">
        <v>10</v>
      </c>
      <c r="G47" s="283">
        <f>E47/$E$58</f>
        <v>0.81296675117492201</v>
      </c>
      <c r="I47" s="246" t="s">
        <v>13</v>
      </c>
      <c r="J47" s="275">
        <f>B47-B31</f>
        <v>-5666.6299999999974</v>
      </c>
      <c r="K47" s="268" t="s">
        <v>46</v>
      </c>
      <c r="M47" s="275">
        <f>E47-E31</f>
        <v>-20309.829379999996</v>
      </c>
      <c r="N47" s="246" t="s">
        <v>10</v>
      </c>
      <c r="O47" s="247" t="s">
        <v>143</v>
      </c>
    </row>
    <row r="48" spans="1:15" x14ac:dyDescent="0.2">
      <c r="A48" s="268" t="s">
        <v>47</v>
      </c>
      <c r="B48" s="291">
        <f>'[2]CO-2 Footprint 2020'!B6</f>
        <v>8449.6999999999989</v>
      </c>
      <c r="C48" s="268" t="s">
        <v>46</v>
      </c>
      <c r="D48" s="270"/>
      <c r="E48" s="284">
        <f>'[2]CO-2 Footprint 2020'!E6</f>
        <v>23523.964799999994</v>
      </c>
      <c r="F48" s="268" t="s">
        <v>10</v>
      </c>
      <c r="G48" s="283">
        <f>E48/$E$58</f>
        <v>0.1528199690349728</v>
      </c>
      <c r="I48" s="246" t="s">
        <v>47</v>
      </c>
      <c r="J48" s="275">
        <f>B48-B32</f>
        <v>-1625.8700000000008</v>
      </c>
      <c r="K48" s="268" t="s">
        <v>46</v>
      </c>
      <c r="M48" s="275">
        <f>E48-E32</f>
        <v>-5533.9790800000046</v>
      </c>
      <c r="N48" s="246" t="s">
        <v>10</v>
      </c>
      <c r="O48" s="247" t="s">
        <v>143</v>
      </c>
    </row>
    <row r="49" spans="1:19" x14ac:dyDescent="0.2">
      <c r="A49" s="268" t="s">
        <v>112</v>
      </c>
      <c r="B49" s="291">
        <f>'CO-2 Footprint 2020'!B7</f>
        <v>5782</v>
      </c>
      <c r="C49" s="268" t="s">
        <v>189</v>
      </c>
      <c r="D49" s="270"/>
      <c r="E49" s="284">
        <f>'CO-2 Footprint 2020'!E7</f>
        <v>1167.9640000000002</v>
      </c>
      <c r="F49" s="268" t="s">
        <v>10</v>
      </c>
      <c r="G49" s="283">
        <f>E49/E58</f>
        <v>7.5875059256151848E-3</v>
      </c>
      <c r="I49" s="290" t="s">
        <v>112</v>
      </c>
      <c r="J49" s="287">
        <f>B49-B33</f>
        <v>5385.6</v>
      </c>
      <c r="K49" s="289" t="s">
        <v>46</v>
      </c>
      <c r="L49" s="282"/>
      <c r="M49" s="287">
        <f>E49-E33</f>
        <v>24.746400000000222</v>
      </c>
      <c r="N49" s="282" t="s">
        <v>10</v>
      </c>
      <c r="O49" s="286" t="s">
        <v>143</v>
      </c>
      <c r="P49" s="282"/>
    </row>
    <row r="50" spans="1:19" x14ac:dyDescent="0.2">
      <c r="A50" s="268"/>
      <c r="B50" s="291"/>
      <c r="C50" s="268"/>
      <c r="D50" s="270"/>
      <c r="E50" s="284"/>
      <c r="F50" s="268"/>
      <c r="G50" s="283"/>
      <c r="I50" s="290"/>
      <c r="J50" s="287"/>
      <c r="K50" s="289"/>
      <c r="L50" s="282"/>
      <c r="M50" s="287"/>
      <c r="N50" s="282"/>
      <c r="O50" s="286"/>
    </row>
    <row r="51" spans="1:19" x14ac:dyDescent="0.2">
      <c r="A51" s="414" t="s">
        <v>48</v>
      </c>
      <c r="B51" s="414"/>
      <c r="C51" s="414"/>
      <c r="D51" s="414"/>
      <c r="E51" s="278">
        <f>SUM(E47+E48+E49)</f>
        <v>149833.95938000001</v>
      </c>
      <c r="F51" s="277" t="s">
        <v>10</v>
      </c>
      <c r="G51" s="281">
        <f>E51/$E$58</f>
        <v>0.97337422613551006</v>
      </c>
      <c r="J51" s="275"/>
      <c r="L51" s="271" t="s">
        <v>48</v>
      </c>
      <c r="M51" s="280">
        <f>E51-E34</f>
        <v>-25819.062059999997</v>
      </c>
      <c r="N51" s="271" t="s">
        <v>10</v>
      </c>
      <c r="O51" s="247" t="s">
        <v>149</v>
      </c>
      <c r="S51" s="272"/>
    </row>
    <row r="52" spans="1:19" x14ac:dyDescent="0.2">
      <c r="A52" s="412" t="s">
        <v>49</v>
      </c>
      <c r="B52" s="413"/>
      <c r="C52" s="413"/>
      <c r="D52" s="413"/>
      <c r="E52" s="413"/>
      <c r="F52" s="413"/>
      <c r="G52" s="413"/>
      <c r="I52" s="412" t="s">
        <v>49</v>
      </c>
      <c r="J52" s="413"/>
      <c r="K52" s="413"/>
      <c r="L52" s="413"/>
      <c r="M52" s="413"/>
      <c r="N52" s="413"/>
      <c r="O52" s="413"/>
    </row>
    <row r="53" spans="1:19" x14ac:dyDescent="0.2">
      <c r="A53" s="268" t="str">
        <f>'[2]CO-2 Footprint 2020'!A11</f>
        <v>1. Zonnenergie</v>
      </c>
      <c r="B53" s="284">
        <f>'[2]CO-2 Footprint 2020'!B11</f>
        <v>10704.864999999996</v>
      </c>
      <c r="C53" s="268" t="s">
        <v>32</v>
      </c>
      <c r="D53" s="258"/>
      <c r="E53" s="284">
        <f>'[2]CO-2 Footprint 2020'!E11</f>
        <v>0</v>
      </c>
      <c r="F53" s="268" t="s">
        <v>10</v>
      </c>
      <c r="G53" s="283">
        <f>E53/E58</f>
        <v>0</v>
      </c>
      <c r="I53" s="246" t="s">
        <v>31</v>
      </c>
      <c r="J53" s="275">
        <f>B53-B36</f>
        <v>95.277999999996609</v>
      </c>
      <c r="K53" s="282" t="s">
        <v>150</v>
      </c>
      <c r="M53" s="246">
        <v>0</v>
      </c>
      <c r="N53" s="246" t="s">
        <v>10</v>
      </c>
      <c r="O53" s="247" t="s">
        <v>144</v>
      </c>
      <c r="P53" s="282"/>
    </row>
    <row r="54" spans="1:19" ht="25.5" x14ac:dyDescent="0.2">
      <c r="A54" s="285" t="str">
        <f>'[2]CO-2 Footprint 2020'!A12</f>
        <v xml:space="preserve">2. Opladen elektrische auto SK-37-1X </v>
      </c>
      <c r="B54" s="284">
        <f>'[2]CO-2 Footprint 2020'!B12</f>
        <v>4581.6220000000003</v>
      </c>
      <c r="C54" s="268" t="s">
        <v>32</v>
      </c>
      <c r="D54" s="258"/>
      <c r="E54" s="284">
        <f>'[2]CO-2 Footprint 2020'!E12</f>
        <v>2547.3818320000005</v>
      </c>
      <c r="F54" s="268" t="s">
        <v>10</v>
      </c>
      <c r="G54" s="283">
        <f>E54/E58</f>
        <v>1.6548690494830719E-2</v>
      </c>
      <c r="I54" s="288" t="s">
        <v>145</v>
      </c>
      <c r="J54" s="287">
        <f>B54-B37</f>
        <v>-124.13799999999992</v>
      </c>
      <c r="K54" s="282" t="s">
        <v>150</v>
      </c>
      <c r="L54" s="282"/>
      <c r="M54" s="287">
        <f>E54-E37</f>
        <v>-69.020727999999963</v>
      </c>
      <c r="N54" s="282" t="s">
        <v>10</v>
      </c>
      <c r="O54" s="286" t="s">
        <v>143</v>
      </c>
    </row>
    <row r="55" spans="1:19" x14ac:dyDescent="0.2">
      <c r="A55" s="285" t="str">
        <f>'[2]CO-2 Footprint 2020'!A13</f>
        <v>Stadswarmte</v>
      </c>
      <c r="B55" s="284">
        <f>'Stadswarmte 2020'!B8</f>
        <v>57.793999999999997</v>
      </c>
      <c r="C55" s="268" t="s">
        <v>103</v>
      </c>
      <c r="D55" s="258"/>
      <c r="E55" s="284">
        <f>'Stadswarmte 2020'!C8</f>
        <v>1551.1909599999999</v>
      </c>
      <c r="F55" s="268" t="s">
        <v>10</v>
      </c>
      <c r="G55" s="283">
        <f>E55/E58</f>
        <v>1.0077083369659257E-2</v>
      </c>
      <c r="I55" s="246" t="s">
        <v>146</v>
      </c>
      <c r="J55" s="275">
        <f>B55-B38</f>
        <v>-8.4180000000000064</v>
      </c>
      <c r="K55" s="246" t="s">
        <v>103</v>
      </c>
      <c r="M55" s="275">
        <f>E55-E38</f>
        <v>-830.45468000000028</v>
      </c>
      <c r="N55" s="282" t="s">
        <v>10</v>
      </c>
      <c r="O55" s="247" t="s">
        <v>143</v>
      </c>
    </row>
    <row r="56" spans="1:19" x14ac:dyDescent="0.2">
      <c r="A56" s="414" t="s">
        <v>48</v>
      </c>
      <c r="B56" s="414"/>
      <c r="C56" s="414"/>
      <c r="D56" s="414"/>
      <c r="E56" s="278">
        <f>SUM(E53:E55)</f>
        <v>4098.5727920000008</v>
      </c>
      <c r="F56" s="277" t="s">
        <v>10</v>
      </c>
      <c r="G56" s="281">
        <f>E56/E58</f>
        <v>2.6625773864489981E-2</v>
      </c>
      <c r="L56" s="271" t="s">
        <v>48</v>
      </c>
      <c r="M56" s="280">
        <f>E56-E39</f>
        <v>-899.47540800000024</v>
      </c>
      <c r="N56" s="271" t="s">
        <v>10</v>
      </c>
      <c r="O56" s="247" t="s">
        <v>143</v>
      </c>
    </row>
    <row r="57" spans="1:19" x14ac:dyDescent="0.2">
      <c r="A57" s="412" t="s">
        <v>12</v>
      </c>
      <c r="B57" s="413"/>
      <c r="C57" s="413"/>
      <c r="D57" s="413"/>
      <c r="E57" s="413"/>
      <c r="F57" s="413"/>
      <c r="G57" s="413"/>
      <c r="I57" s="412" t="s">
        <v>12</v>
      </c>
      <c r="J57" s="413"/>
      <c r="K57" s="413"/>
      <c r="L57" s="413"/>
      <c r="M57" s="413"/>
      <c r="N57" s="413"/>
      <c r="O57" s="413"/>
    </row>
    <row r="58" spans="1:19" x14ac:dyDescent="0.2">
      <c r="A58" s="279"/>
      <c r="B58" s="279"/>
      <c r="C58" s="279"/>
      <c r="D58" s="269" t="s">
        <v>51</v>
      </c>
      <c r="E58" s="278">
        <f>E56+E51</f>
        <v>153932.53217200001</v>
      </c>
      <c r="F58" s="277" t="s">
        <v>10</v>
      </c>
      <c r="G58" s="276">
        <f>G51+G56</f>
        <v>1</v>
      </c>
      <c r="M58" s="275">
        <f>E58-E41</f>
        <v>-26718.537467999995</v>
      </c>
      <c r="N58" s="271" t="s">
        <v>10</v>
      </c>
      <c r="O58" s="274">
        <f>M58/E41</f>
        <v>-0.14790135215498298</v>
      </c>
    </row>
    <row r="60" spans="1:19" x14ac:dyDescent="0.2">
      <c r="M60" s="272">
        <f>(E58-E41)/E41</f>
        <v>-0.14790135215498298</v>
      </c>
      <c r="N60" s="271" t="s">
        <v>151</v>
      </c>
    </row>
    <row r="61" spans="1:19" x14ac:dyDescent="0.2">
      <c r="M61" s="272"/>
      <c r="N61" s="271"/>
    </row>
    <row r="62" spans="1:19" ht="23.25" x14ac:dyDescent="0.2">
      <c r="A62" s="411">
        <v>2021</v>
      </c>
      <c r="B62" s="411"/>
      <c r="C62" s="411"/>
      <c r="D62" s="411"/>
      <c r="E62" s="411"/>
      <c r="F62" s="411"/>
      <c r="G62" s="411"/>
      <c r="I62" s="411" t="s">
        <v>183</v>
      </c>
      <c r="J62" s="411"/>
      <c r="K62" s="411"/>
      <c r="L62" s="411"/>
      <c r="M62" s="411"/>
      <c r="N62" s="411"/>
      <c r="O62" s="411"/>
    </row>
    <row r="63" spans="1:19" x14ac:dyDescent="0.2">
      <c r="A63" s="415" t="s">
        <v>44</v>
      </c>
      <c r="B63" s="413"/>
      <c r="C63" s="413"/>
      <c r="D63" s="413"/>
      <c r="E63" s="413"/>
      <c r="F63" s="413"/>
      <c r="G63" s="413"/>
      <c r="I63" s="279" t="s">
        <v>44</v>
      </c>
    </row>
    <row r="64" spans="1:19" x14ac:dyDescent="0.2">
      <c r="A64" s="273" t="s">
        <v>45</v>
      </c>
      <c r="B64" s="273"/>
      <c r="C64" s="273"/>
      <c r="D64" s="273"/>
      <c r="E64" s="273"/>
      <c r="F64" s="273"/>
      <c r="G64" s="273"/>
      <c r="I64" s="412" t="s">
        <v>45</v>
      </c>
      <c r="J64" s="413"/>
      <c r="K64" s="413"/>
      <c r="L64" s="413"/>
      <c r="M64" s="413"/>
      <c r="N64" s="413"/>
      <c r="O64" s="413"/>
    </row>
    <row r="65" spans="1:16" x14ac:dyDescent="0.2">
      <c r="A65" s="268" t="s">
        <v>13</v>
      </c>
      <c r="B65" s="275">
        <f>'Dieselolie 2021'!B10</f>
        <v>37042.870000000003</v>
      </c>
      <c r="C65" s="268" t="s">
        <v>46</v>
      </c>
      <c r="E65" s="275">
        <f>'Dieselolie 2021'!C10</f>
        <v>120833.84194000001</v>
      </c>
      <c r="F65" s="268" t="s">
        <v>10</v>
      </c>
      <c r="G65" s="358">
        <f>E65/E76</f>
        <v>0.80135601844345583</v>
      </c>
      <c r="I65" s="246" t="s">
        <v>13</v>
      </c>
      <c r="J65" s="275">
        <f>B65-B47</f>
        <v>-1320.7200000000012</v>
      </c>
      <c r="K65" s="268" t="s">
        <v>46</v>
      </c>
      <c r="M65" s="275">
        <f>E65-E47</f>
        <v>-4308.188639999993</v>
      </c>
      <c r="N65" s="246" t="s">
        <v>10</v>
      </c>
      <c r="O65" s="247" t="s">
        <v>143</v>
      </c>
    </row>
    <row r="66" spans="1:16" x14ac:dyDescent="0.2">
      <c r="A66" s="268" t="s">
        <v>47</v>
      </c>
      <c r="B66" s="275">
        <f>'Euro 95 2021'!B8</f>
        <v>8740.5600000000013</v>
      </c>
      <c r="C66" s="268" t="s">
        <v>46</v>
      </c>
      <c r="E66" s="275">
        <f>'Euro 95 2021'!C8</f>
        <v>24333.719040000004</v>
      </c>
      <c r="F66" s="268" t="s">
        <v>10</v>
      </c>
      <c r="G66" s="358">
        <f>E66/E76</f>
        <v>0.16137840104015574</v>
      </c>
      <c r="I66" s="246" t="s">
        <v>47</v>
      </c>
      <c r="J66" s="275">
        <f>B66-B48</f>
        <v>290.8600000000024</v>
      </c>
      <c r="K66" s="268" t="s">
        <v>46</v>
      </c>
      <c r="M66" s="275">
        <f>E66-E48</f>
        <v>809.7542400000093</v>
      </c>
      <c r="N66" s="246" t="s">
        <v>10</v>
      </c>
      <c r="O66" s="247" t="s">
        <v>144</v>
      </c>
    </row>
    <row r="67" spans="1:16" x14ac:dyDescent="0.2">
      <c r="A67" s="268" t="s">
        <v>112</v>
      </c>
      <c r="B67" s="275">
        <f>'Euro 95 2021'!C33</f>
        <v>5615</v>
      </c>
      <c r="C67" s="268" t="s">
        <v>181</v>
      </c>
      <c r="E67" s="275">
        <f>'Euro 95 2021'!C9</f>
        <v>1145.46</v>
      </c>
      <c r="F67" s="268" t="s">
        <v>10</v>
      </c>
      <c r="G67" s="358">
        <f>E67/E76</f>
        <v>7.596557803252124E-3</v>
      </c>
      <c r="I67" s="290" t="s">
        <v>112</v>
      </c>
      <c r="J67" s="287">
        <f>B67-B49</f>
        <v>-167</v>
      </c>
      <c r="K67" s="289" t="s">
        <v>181</v>
      </c>
      <c r="L67" s="282"/>
      <c r="M67" s="287">
        <f>E67-E49</f>
        <v>-22.504000000000133</v>
      </c>
      <c r="N67" s="282" t="s">
        <v>10</v>
      </c>
      <c r="O67" s="247" t="s">
        <v>143</v>
      </c>
      <c r="P67" s="282"/>
    </row>
    <row r="68" spans="1:16" x14ac:dyDescent="0.2">
      <c r="A68" s="268"/>
      <c r="C68" s="268"/>
      <c r="F68" s="268"/>
      <c r="G68" s="358"/>
      <c r="I68" s="290"/>
      <c r="J68" s="287"/>
      <c r="K68" s="289"/>
      <c r="L68" s="282"/>
      <c r="M68" s="287"/>
      <c r="N68" s="282"/>
      <c r="O68" s="286"/>
    </row>
    <row r="69" spans="1:16" x14ac:dyDescent="0.2">
      <c r="A69" s="414" t="s">
        <v>48</v>
      </c>
      <c r="B69" s="414"/>
      <c r="C69" s="414"/>
      <c r="D69" s="414"/>
      <c r="E69" s="357">
        <f>E65+E66+E67</f>
        <v>146313.02098</v>
      </c>
      <c r="F69" s="268" t="s">
        <v>10</v>
      </c>
      <c r="G69" s="358">
        <f>E69/E76</f>
        <v>0.97033097728686357</v>
      </c>
      <c r="J69" s="275"/>
      <c r="L69" s="271" t="s">
        <v>48</v>
      </c>
      <c r="M69" s="280">
        <f>E69-E51</f>
        <v>-3520.9384000000136</v>
      </c>
      <c r="N69" s="271" t="s">
        <v>10</v>
      </c>
      <c r="O69" s="247" t="s">
        <v>149</v>
      </c>
    </row>
    <row r="70" spans="1:16" x14ac:dyDescent="0.2">
      <c r="A70" s="412" t="s">
        <v>49</v>
      </c>
      <c r="B70" s="413"/>
      <c r="C70" s="413"/>
      <c r="D70" s="413"/>
      <c r="E70" s="413"/>
      <c r="F70" s="413"/>
      <c r="G70" s="413"/>
      <c r="I70" s="412" t="s">
        <v>49</v>
      </c>
      <c r="J70" s="413"/>
      <c r="K70" s="413"/>
      <c r="L70" s="413"/>
      <c r="M70" s="413"/>
      <c r="N70" s="413"/>
      <c r="O70" s="413"/>
    </row>
    <row r="71" spans="1:16" x14ac:dyDescent="0.2">
      <c r="A71" s="246" t="str">
        <f>'Elektra 2021'!A2</f>
        <v>1. Zonnenergie</v>
      </c>
      <c r="B71" s="275">
        <f>'Elektra 2021'!B2</f>
        <v>8529.9660000000022</v>
      </c>
      <c r="C71" s="268" t="s">
        <v>32</v>
      </c>
      <c r="E71" s="246">
        <f>'Elektra 2021'!E2</f>
        <v>0</v>
      </c>
      <c r="F71" s="268" t="s">
        <v>10</v>
      </c>
      <c r="G71" s="358">
        <f>E71/E76</f>
        <v>0</v>
      </c>
      <c r="I71" s="246" t="s">
        <v>31</v>
      </c>
      <c r="J71" s="275">
        <f>B71-B53</f>
        <v>-2174.898999999994</v>
      </c>
      <c r="K71" s="282" t="s">
        <v>150</v>
      </c>
      <c r="M71" s="246">
        <v>0</v>
      </c>
      <c r="N71" s="246" t="s">
        <v>10</v>
      </c>
      <c r="O71" s="247"/>
      <c r="P71" s="282"/>
    </row>
    <row r="72" spans="1:16" x14ac:dyDescent="0.2">
      <c r="A72" s="247" t="s">
        <v>176</v>
      </c>
      <c r="B72" s="275">
        <f>'Elektra 2021'!B3+'Elektra 2021'!B4</f>
        <v>5117.7220000000007</v>
      </c>
      <c r="C72" s="268" t="s">
        <v>32</v>
      </c>
      <c r="E72" s="275">
        <f>'Elektra 2021'!E3+'Elektra 2021'!E4</f>
        <v>2676.5686060000007</v>
      </c>
      <c r="F72" s="268" t="s">
        <v>10</v>
      </c>
      <c r="G72" s="358">
        <f>E72/E76</f>
        <v>1.7750692411650313E-2</v>
      </c>
      <c r="I72" s="290" t="s">
        <v>176</v>
      </c>
      <c r="J72" s="287">
        <f>B72-B54</f>
        <v>536.10000000000036</v>
      </c>
      <c r="K72" s="282" t="s">
        <v>150</v>
      </c>
      <c r="L72" s="282"/>
      <c r="M72" s="287">
        <f>E72-E54</f>
        <v>129.18677400000024</v>
      </c>
      <c r="N72" s="282" t="s">
        <v>10</v>
      </c>
      <c r="O72" s="286" t="s">
        <v>144</v>
      </c>
    </row>
    <row r="73" spans="1:16" x14ac:dyDescent="0.2">
      <c r="A73" s="246" t="str">
        <f>'Stadswarmte 2021'!A6</f>
        <v>Stadswarmte</v>
      </c>
      <c r="B73" s="275">
        <f>'Stadswarmte 2021'!B8</f>
        <v>66.956999999999994</v>
      </c>
      <c r="C73" s="268" t="s">
        <v>103</v>
      </c>
      <c r="E73" s="275">
        <f>'Stadswarmte 2021'!C8</f>
        <v>1797.1258799999998</v>
      </c>
      <c r="F73" s="268" t="s">
        <v>10</v>
      </c>
      <c r="G73" s="358">
        <f>E73/E76</f>
        <v>1.1918330301486162E-2</v>
      </c>
      <c r="I73" s="246" t="s">
        <v>146</v>
      </c>
      <c r="J73" s="275">
        <f>B73-B55</f>
        <v>9.1629999999999967</v>
      </c>
      <c r="K73" s="246" t="s">
        <v>103</v>
      </c>
      <c r="M73" s="275">
        <f>E73-E55</f>
        <v>245.93491999999992</v>
      </c>
      <c r="N73" s="282" t="s">
        <v>10</v>
      </c>
      <c r="O73" s="247" t="s">
        <v>144</v>
      </c>
    </row>
    <row r="74" spans="1:16" x14ac:dyDescent="0.2">
      <c r="A74" s="414" t="s">
        <v>48</v>
      </c>
      <c r="B74" s="414"/>
      <c r="C74" s="414"/>
      <c r="D74" s="414"/>
      <c r="E74" s="357">
        <f>E71+E72+E73</f>
        <v>4473.6944860000003</v>
      </c>
      <c r="F74" s="268" t="s">
        <v>10</v>
      </c>
      <c r="G74" s="358">
        <f>E74/E76</f>
        <v>2.9669022713136473E-2</v>
      </c>
      <c r="L74" s="271" t="s">
        <v>48</v>
      </c>
      <c r="M74" s="280">
        <f>E74-E56</f>
        <v>375.12169399999948</v>
      </c>
      <c r="N74" s="271" t="s">
        <v>10</v>
      </c>
      <c r="O74" s="247" t="s">
        <v>144</v>
      </c>
    </row>
    <row r="75" spans="1:16" x14ac:dyDescent="0.2">
      <c r="A75" s="412" t="s">
        <v>12</v>
      </c>
      <c r="B75" s="413"/>
      <c r="C75" s="413"/>
      <c r="D75" s="413"/>
      <c r="E75" s="413"/>
      <c r="F75" s="413"/>
      <c r="G75" s="413"/>
      <c r="I75" s="412" t="s">
        <v>12</v>
      </c>
      <c r="J75" s="413"/>
      <c r="K75" s="413"/>
      <c r="L75" s="413"/>
      <c r="M75" s="413"/>
      <c r="N75" s="413"/>
      <c r="O75" s="413"/>
    </row>
    <row r="76" spans="1:16" x14ac:dyDescent="0.2">
      <c r="C76" s="270"/>
      <c r="D76" s="269" t="s">
        <v>51</v>
      </c>
      <c r="E76" s="280">
        <f>E69+E74</f>
        <v>150786.71546599999</v>
      </c>
      <c r="F76" s="268" t="s">
        <v>10</v>
      </c>
      <c r="G76" s="272">
        <f>G74+G69</f>
        <v>1</v>
      </c>
      <c r="M76" s="275">
        <f>E76-E58</f>
        <v>-3145.8167060000123</v>
      </c>
      <c r="N76" s="271" t="s">
        <v>10</v>
      </c>
      <c r="O76" s="274">
        <f>M76/E58</f>
        <v>-2.0436334422699959E-2</v>
      </c>
    </row>
    <row r="78" spans="1:16" x14ac:dyDescent="0.2">
      <c r="M78" s="272">
        <f>(E76-E58)/E58</f>
        <v>-2.0436334422699959E-2</v>
      </c>
      <c r="N78" s="271" t="s">
        <v>184</v>
      </c>
    </row>
    <row r="81" spans="1:16" ht="23.25" x14ac:dyDescent="0.2">
      <c r="A81" s="411">
        <v>2022</v>
      </c>
      <c r="B81" s="411"/>
      <c r="C81" s="411"/>
      <c r="D81" s="411"/>
      <c r="E81" s="411"/>
      <c r="F81" s="411"/>
      <c r="G81" s="411"/>
      <c r="I81" s="411" t="s">
        <v>204</v>
      </c>
      <c r="J81" s="411"/>
      <c r="K81" s="411"/>
      <c r="L81" s="411"/>
      <c r="M81" s="411"/>
      <c r="N81" s="411"/>
      <c r="O81" s="411"/>
    </row>
    <row r="82" spans="1:16" x14ac:dyDescent="0.2">
      <c r="A82" s="415" t="s">
        <v>44</v>
      </c>
      <c r="B82" s="413"/>
      <c r="C82" s="413"/>
      <c r="D82" s="413"/>
      <c r="E82" s="413"/>
      <c r="F82" s="413"/>
      <c r="G82" s="413"/>
      <c r="I82" s="279" t="s">
        <v>44</v>
      </c>
    </row>
    <row r="83" spans="1:16" x14ac:dyDescent="0.2">
      <c r="A83" s="273" t="s">
        <v>45</v>
      </c>
      <c r="B83" s="273"/>
      <c r="C83" s="273"/>
      <c r="D83" s="273"/>
      <c r="E83" s="273"/>
      <c r="F83" s="273"/>
      <c r="G83" s="273"/>
      <c r="I83" s="412" t="s">
        <v>45</v>
      </c>
      <c r="J83" s="413"/>
      <c r="K83" s="413"/>
      <c r="L83" s="413"/>
      <c r="M83" s="413"/>
      <c r="N83" s="413"/>
      <c r="O83" s="413"/>
    </row>
    <row r="84" spans="1:16" x14ac:dyDescent="0.2">
      <c r="A84" s="268" t="s">
        <v>13</v>
      </c>
      <c r="B84" s="275">
        <f>'Dieselolie 2022'!B10</f>
        <v>35181.22</v>
      </c>
      <c r="C84" s="268" t="s">
        <v>46</v>
      </c>
      <c r="E84" s="275">
        <f>'Dieselolie 2022'!D25</f>
        <v>114761.13963999998</v>
      </c>
      <c r="F84" s="268" t="s">
        <v>10</v>
      </c>
      <c r="G84" s="358">
        <f>E84/E95</f>
        <v>0.83995177978696556</v>
      </c>
      <c r="I84" s="246" t="s">
        <v>13</v>
      </c>
      <c r="J84" s="275">
        <f>B84-B65</f>
        <v>-1861.6500000000015</v>
      </c>
      <c r="K84" s="268" t="s">
        <v>46</v>
      </c>
      <c r="M84" s="275">
        <f>E84-E65</f>
        <v>-6072.7023000000336</v>
      </c>
      <c r="N84" s="246" t="s">
        <v>10</v>
      </c>
      <c r="O84" s="247" t="s">
        <v>143</v>
      </c>
    </row>
    <row r="85" spans="1:16" x14ac:dyDescent="0.2">
      <c r="A85" s="268" t="s">
        <v>47</v>
      </c>
      <c r="B85" s="275">
        <f>'Euro 95 2022'!B8</f>
        <v>4832.47</v>
      </c>
      <c r="C85" s="268" t="s">
        <v>46</v>
      </c>
      <c r="E85" s="275">
        <f>'Euro 95 2022'!C8</f>
        <v>13453.59648</v>
      </c>
      <c r="F85" s="268" t="s">
        <v>10</v>
      </c>
      <c r="G85" s="358">
        <f>E85/E95</f>
        <v>9.8468630961319872E-2</v>
      </c>
      <c r="I85" s="246" t="s">
        <v>47</v>
      </c>
      <c r="J85" s="275">
        <f>B85-B66</f>
        <v>-3908.0900000000011</v>
      </c>
      <c r="K85" s="268" t="s">
        <v>46</v>
      </c>
      <c r="M85" s="275">
        <f>E85-E66</f>
        <v>-10880.122560000003</v>
      </c>
      <c r="N85" s="246" t="s">
        <v>10</v>
      </c>
      <c r="O85" s="247" t="s">
        <v>143</v>
      </c>
    </row>
    <row r="86" spans="1:16" x14ac:dyDescent="0.2">
      <c r="A86" s="268" t="s">
        <v>112</v>
      </c>
      <c r="B86" s="275">
        <f>'Euro 95 2022'!C30</f>
        <v>6362</v>
      </c>
      <c r="C86" s="268" t="s">
        <v>181</v>
      </c>
      <c r="E86" s="275">
        <f>'Euro 95 2022'!C9</f>
        <v>1297.848</v>
      </c>
      <c r="F86" s="268" t="s">
        <v>10</v>
      </c>
      <c r="G86" s="358">
        <f>E86/E95</f>
        <v>9.4991191348625208E-3</v>
      </c>
      <c r="I86" s="290" t="s">
        <v>112</v>
      </c>
      <c r="J86" s="287">
        <f>B86-B67</f>
        <v>747</v>
      </c>
      <c r="K86" s="289" t="s">
        <v>181</v>
      </c>
      <c r="L86" s="282"/>
      <c r="M86" s="287">
        <f>E86-E67</f>
        <v>152.38799999999992</v>
      </c>
      <c r="N86" s="282" t="s">
        <v>10</v>
      </c>
      <c r="O86" s="247" t="s">
        <v>144</v>
      </c>
      <c r="P86" s="282"/>
    </row>
    <row r="87" spans="1:16" x14ac:dyDescent="0.2">
      <c r="A87" s="268"/>
      <c r="C87" s="268"/>
      <c r="F87" s="268"/>
      <c r="G87" s="358"/>
      <c r="I87" s="290"/>
      <c r="J87" s="287"/>
      <c r="K87" s="289"/>
      <c r="L87" s="282"/>
      <c r="M87" s="287"/>
      <c r="N87" s="282"/>
      <c r="O87" s="286"/>
    </row>
    <row r="88" spans="1:16" x14ac:dyDescent="0.2">
      <c r="A88" s="414" t="s">
        <v>48</v>
      </c>
      <c r="B88" s="414"/>
      <c r="C88" s="414"/>
      <c r="D88" s="414"/>
      <c r="E88" s="357">
        <f>E84+E85+E86</f>
        <v>129512.58411999998</v>
      </c>
      <c r="F88" s="268" t="s">
        <v>10</v>
      </c>
      <c r="G88" s="358">
        <f>E88/E95</f>
        <v>0.94791952988314798</v>
      </c>
      <c r="J88" s="275"/>
      <c r="L88" s="271" t="s">
        <v>48</v>
      </c>
      <c r="M88" s="280">
        <f>E88-E69</f>
        <v>-16800.436860000016</v>
      </c>
      <c r="N88" s="271" t="s">
        <v>10</v>
      </c>
      <c r="O88" s="247" t="s">
        <v>149</v>
      </c>
    </row>
    <row r="89" spans="1:16" x14ac:dyDescent="0.2">
      <c r="A89" s="412" t="s">
        <v>49</v>
      </c>
      <c r="B89" s="413"/>
      <c r="C89" s="413"/>
      <c r="D89" s="413"/>
      <c r="E89" s="413"/>
      <c r="F89" s="413"/>
      <c r="G89" s="413"/>
      <c r="I89" s="412" t="s">
        <v>49</v>
      </c>
      <c r="J89" s="413"/>
      <c r="K89" s="413"/>
      <c r="L89" s="413"/>
      <c r="M89" s="413"/>
      <c r="N89" s="413"/>
      <c r="O89" s="413"/>
    </row>
    <row r="90" spans="1:16" x14ac:dyDescent="0.2">
      <c r="A90" s="246" t="str">
        <f>'Elektra 2022'!A2</f>
        <v>1. Zonnenergie</v>
      </c>
      <c r="B90" s="275">
        <f>'Elektra 2022'!B2</f>
        <v>12964.623000000003</v>
      </c>
      <c r="C90" s="268" t="s">
        <v>32</v>
      </c>
      <c r="E90" s="246">
        <f>'Elektra 2022'!E2</f>
        <v>0</v>
      </c>
      <c r="F90" s="268" t="s">
        <v>10</v>
      </c>
      <c r="G90" s="358">
        <f>E90/E95</f>
        <v>0</v>
      </c>
      <c r="I90" s="246" t="s">
        <v>31</v>
      </c>
      <c r="J90" s="275">
        <f>B90-B71</f>
        <v>4434.6570000000011</v>
      </c>
      <c r="K90" s="282" t="s">
        <v>150</v>
      </c>
      <c r="M90" s="246">
        <v>0</v>
      </c>
      <c r="N90" s="246" t="s">
        <v>10</v>
      </c>
      <c r="O90" s="247"/>
      <c r="P90" s="282"/>
    </row>
    <row r="91" spans="1:16" x14ac:dyDescent="0.2">
      <c r="A91" s="247" t="s">
        <v>176</v>
      </c>
      <c r="B91" s="275">
        <f>'Elektra 2022'!B3+'Elektra 2022'!B4</f>
        <v>11819</v>
      </c>
      <c r="C91" s="268" t="s">
        <v>32</v>
      </c>
      <c r="E91" s="275">
        <f>'Elektra 2022'!E3+'Elektra 2022'!E4</f>
        <v>6181.3370000000004</v>
      </c>
      <c r="F91" s="268" t="s">
        <v>10</v>
      </c>
      <c r="G91" s="358">
        <f>E91/E95</f>
        <v>4.5242013375783374E-2</v>
      </c>
      <c r="I91" s="290" t="s">
        <v>176</v>
      </c>
      <c r="J91" s="287">
        <f>B91-B72</f>
        <v>6701.2779999999993</v>
      </c>
      <c r="K91" s="282" t="s">
        <v>150</v>
      </c>
      <c r="L91" s="282"/>
      <c r="M91" s="287">
        <f>E91-E72</f>
        <v>3504.7683939999997</v>
      </c>
      <c r="N91" s="282" t="s">
        <v>10</v>
      </c>
      <c r="O91" s="286" t="s">
        <v>144</v>
      </c>
    </row>
    <row r="92" spans="1:16" x14ac:dyDescent="0.2">
      <c r="A92" s="246" t="str">
        <f>'Stadswarmte 2022'!A6</f>
        <v>Stadswarmte</v>
      </c>
      <c r="B92" s="399">
        <f>'Stadswarmte 2022'!B8</f>
        <v>36.828000000000003</v>
      </c>
      <c r="C92" s="268" t="s">
        <v>103</v>
      </c>
      <c r="E92" s="275">
        <f>'Stadswarmte 2022'!C6</f>
        <v>934.32636000000014</v>
      </c>
      <c r="F92" s="268" t="s">
        <v>10</v>
      </c>
      <c r="G92" s="358">
        <f>E92/E95</f>
        <v>6.8384567410686384E-3</v>
      </c>
      <c r="I92" s="246" t="s">
        <v>146</v>
      </c>
      <c r="J92" s="275">
        <f>B92-B73</f>
        <v>-30.128999999999991</v>
      </c>
      <c r="K92" s="246" t="s">
        <v>103</v>
      </c>
      <c r="M92" s="275">
        <f>E92-E73</f>
        <v>-862.79951999999969</v>
      </c>
      <c r="N92" s="282" t="s">
        <v>10</v>
      </c>
      <c r="O92" s="247" t="s">
        <v>149</v>
      </c>
    </row>
    <row r="93" spans="1:16" x14ac:dyDescent="0.2">
      <c r="A93" s="414" t="s">
        <v>48</v>
      </c>
      <c r="B93" s="414"/>
      <c r="C93" s="414"/>
      <c r="D93" s="414"/>
      <c r="E93" s="357">
        <f>E90+E91+E92</f>
        <v>7115.6633600000005</v>
      </c>
      <c r="F93" s="268" t="s">
        <v>10</v>
      </c>
      <c r="G93" s="358">
        <f>E93/E95</f>
        <v>5.2080470116852011E-2</v>
      </c>
      <c r="L93" s="271" t="s">
        <v>48</v>
      </c>
      <c r="M93" s="280">
        <f>E93-E74</f>
        <v>2641.9688740000001</v>
      </c>
      <c r="N93" s="271" t="s">
        <v>10</v>
      </c>
      <c r="O93" s="247" t="s">
        <v>144</v>
      </c>
    </row>
    <row r="94" spans="1:16" x14ac:dyDescent="0.2">
      <c r="A94" s="412" t="s">
        <v>12</v>
      </c>
      <c r="B94" s="413"/>
      <c r="C94" s="413"/>
      <c r="D94" s="413"/>
      <c r="E94" s="413"/>
      <c r="F94" s="413"/>
      <c r="G94" s="413"/>
      <c r="I94" s="412" t="s">
        <v>12</v>
      </c>
      <c r="J94" s="413"/>
      <c r="K94" s="413"/>
      <c r="L94" s="413"/>
      <c r="M94" s="413"/>
      <c r="N94" s="413"/>
      <c r="O94" s="413"/>
    </row>
    <row r="95" spans="1:16" x14ac:dyDescent="0.2">
      <c r="C95" s="270"/>
      <c r="D95" s="269" t="s">
        <v>51</v>
      </c>
      <c r="E95" s="280">
        <f>E88+E93</f>
        <v>136628.24747999999</v>
      </c>
      <c r="F95" s="268" t="s">
        <v>10</v>
      </c>
      <c r="G95" s="272">
        <f>G93+G88</f>
        <v>1</v>
      </c>
      <c r="M95" s="275">
        <f>E95-E76</f>
        <v>-14158.467986000003</v>
      </c>
      <c r="N95" s="271" t="s">
        <v>10</v>
      </c>
      <c r="O95" s="274">
        <f>M95/E76</f>
        <v>-9.3897316764569444E-2</v>
      </c>
    </row>
    <row r="97" spans="13:14" x14ac:dyDescent="0.2">
      <c r="M97" s="272">
        <f>(E95-E76)/E76</f>
        <v>-9.3897316764569444E-2</v>
      </c>
      <c r="N97" s="271" t="s">
        <v>205</v>
      </c>
    </row>
  </sheetData>
  <mergeCells count="48">
    <mergeCell ref="A89:G89"/>
    <mergeCell ref="I89:O89"/>
    <mergeCell ref="A93:D93"/>
    <mergeCell ref="A94:G94"/>
    <mergeCell ref="I94:O94"/>
    <mergeCell ref="A81:G81"/>
    <mergeCell ref="I81:O81"/>
    <mergeCell ref="A82:G82"/>
    <mergeCell ref="I83:O83"/>
    <mergeCell ref="A88:D88"/>
    <mergeCell ref="A69:D69"/>
    <mergeCell ref="A70:G70"/>
    <mergeCell ref="I70:O70"/>
    <mergeCell ref="A74:D74"/>
    <mergeCell ref="A75:G75"/>
    <mergeCell ref="I75:O75"/>
    <mergeCell ref="I64:O64"/>
    <mergeCell ref="A45:G45"/>
    <mergeCell ref="I46:O46"/>
    <mergeCell ref="A51:D51"/>
    <mergeCell ref="A52:G52"/>
    <mergeCell ref="I52:O52"/>
    <mergeCell ref="A56:D56"/>
    <mergeCell ref="A57:G57"/>
    <mergeCell ref="I57:O57"/>
    <mergeCell ref="A62:G62"/>
    <mergeCell ref="I62:O62"/>
    <mergeCell ref="A63:G63"/>
    <mergeCell ref="A35:G35"/>
    <mergeCell ref="I35:O35"/>
    <mergeCell ref="A40:G40"/>
    <mergeCell ref="I40:O40"/>
    <mergeCell ref="A44:G44"/>
    <mergeCell ref="I44:O44"/>
    <mergeCell ref="A30:G30"/>
    <mergeCell ref="I30:O30"/>
    <mergeCell ref="A2:G2"/>
    <mergeCell ref="A7:D7"/>
    <mergeCell ref="A10:D10"/>
    <mergeCell ref="A14:G14"/>
    <mergeCell ref="I14:O14"/>
    <mergeCell ref="A16:G16"/>
    <mergeCell ref="I16:O16"/>
    <mergeCell ref="A19:D19"/>
    <mergeCell ref="I20:O20"/>
    <mergeCell ref="A22:D22"/>
    <mergeCell ref="A28:G28"/>
    <mergeCell ref="I28:O28"/>
  </mergeCells>
  <pageMargins left="0.7" right="0.7" top="0.75" bottom="0.75" header="0.3" footer="0.3"/>
  <pageSetup paperSize="9" scale="87" orientation="portrait" r:id="rId1"/>
  <headerFooter>
    <oddHeader>&amp;LVERSIE 16-2-2021</oddHeader>
  </headerFooter>
  <colBreaks count="2" manualBreakCount="2">
    <brk id="8" max="74" man="1"/>
    <brk id="1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3"/>
  <sheetViews>
    <sheetView view="pageLayout" zoomScaleNormal="100" workbookViewId="0">
      <selection activeCell="B27" sqref="B27"/>
    </sheetView>
  </sheetViews>
  <sheetFormatPr defaultColWidth="0" defaultRowHeight="12.75" x14ac:dyDescent="0.2"/>
  <cols>
    <col min="1" max="1" width="28.140625" style="1" customWidth="1"/>
    <col min="2" max="2" width="31" style="1" bestFit="1" customWidth="1"/>
    <col min="3" max="3" width="10.7109375" bestFit="1" customWidth="1"/>
    <col min="4" max="4" width="9.140625" hidden="1" customWidth="1"/>
    <col min="5" max="5" width="10" hidden="1" customWidth="1"/>
    <col min="6" max="6" width="11" hidden="1" customWidth="1"/>
    <col min="7" max="7" width="0" hidden="1" customWidth="1"/>
    <col min="8" max="8" width="9.140625" hidden="1" customWidth="1"/>
    <col min="9" max="9" width="10" hidden="1" customWidth="1"/>
    <col min="10" max="10" width="11" hidden="1" customWidth="1"/>
    <col min="11" max="16384" width="9.140625" hidden="1"/>
  </cols>
  <sheetData>
    <row r="1" spans="1:3" ht="15.75" x14ac:dyDescent="0.25">
      <c r="A1" s="6" t="s">
        <v>22</v>
      </c>
      <c r="B1" s="49" t="s">
        <v>7</v>
      </c>
    </row>
    <row r="2" spans="1:3" x14ac:dyDescent="0.2">
      <c r="B2" s="9"/>
      <c r="C2" s="9"/>
    </row>
    <row r="3" spans="1:3" x14ac:dyDescent="0.2">
      <c r="A3" s="10" t="s">
        <v>8</v>
      </c>
      <c r="B3" s="11">
        <v>2.8839999999999999</v>
      </c>
    </row>
    <row r="4" spans="1:3" ht="17.25" customHeight="1" x14ac:dyDescent="0.2">
      <c r="A4" s="43"/>
      <c r="B4" s="29"/>
      <c r="C4" s="2"/>
    </row>
    <row r="5" spans="1:3" x14ac:dyDescent="0.2">
      <c r="A5" s="306"/>
      <c r="B5" s="12" t="s">
        <v>9</v>
      </c>
      <c r="C5" s="313" t="s">
        <v>10</v>
      </c>
    </row>
    <row r="6" spans="1:3" x14ac:dyDescent="0.2">
      <c r="A6" s="46" t="s">
        <v>22</v>
      </c>
      <c r="B6" s="76">
        <f>C16</f>
        <v>4066.68</v>
      </c>
      <c r="C6" s="45">
        <f>B6*B3</f>
        <v>11728.305119999999</v>
      </c>
    </row>
    <row r="7" spans="1:3" x14ac:dyDescent="0.2">
      <c r="A7" s="46"/>
      <c r="B7" s="44"/>
      <c r="C7" s="45"/>
    </row>
    <row r="8" spans="1:3" ht="26.25" customHeight="1" x14ac:dyDescent="0.2">
      <c r="A8" s="47" t="s">
        <v>12</v>
      </c>
      <c r="B8" s="314">
        <f>SUM(B6:B7)</f>
        <v>4066.68</v>
      </c>
      <c r="C8" s="48">
        <f>SUM(C6:C7)</f>
        <v>11728.305119999999</v>
      </c>
    </row>
    <row r="9" spans="1:3" x14ac:dyDescent="0.2">
      <c r="A9" s="5"/>
    </row>
    <row r="10" spans="1:3" x14ac:dyDescent="0.2">
      <c r="C10" s="66"/>
    </row>
    <row r="11" spans="1:3" ht="15" x14ac:dyDescent="0.25">
      <c r="A11" s="347" t="s">
        <v>23</v>
      </c>
      <c r="B11" s="32" t="s">
        <v>24</v>
      </c>
      <c r="C11" s="32" t="s">
        <v>9</v>
      </c>
    </row>
    <row r="12" spans="1:3" x14ac:dyDescent="0.2">
      <c r="A12" s="15" t="s">
        <v>25</v>
      </c>
      <c r="B12" s="15" t="s">
        <v>26</v>
      </c>
      <c r="C12" s="99">
        <v>4033</v>
      </c>
    </row>
    <row r="13" spans="1:3" x14ac:dyDescent="0.2">
      <c r="A13" s="98" t="s">
        <v>27</v>
      </c>
      <c r="B13" s="15" t="s">
        <v>26</v>
      </c>
      <c r="C13" s="77">
        <v>33.68</v>
      </c>
    </row>
    <row r="14" spans="1:3" x14ac:dyDescent="0.2">
      <c r="A14" s="15"/>
      <c r="B14" s="30"/>
      <c r="C14" s="77"/>
    </row>
    <row r="15" spans="1:3" x14ac:dyDescent="0.2">
      <c r="A15" s="15"/>
      <c r="B15" s="30"/>
      <c r="C15" s="77"/>
    </row>
    <row r="16" spans="1:3" ht="12.75" customHeight="1" x14ac:dyDescent="0.2">
      <c r="A16" s="21" t="s">
        <v>28</v>
      </c>
      <c r="B16" s="42"/>
      <c r="C16" s="51">
        <f>SUM(C12:C15)</f>
        <v>4066.68</v>
      </c>
    </row>
    <row r="17" spans="1:1" ht="12.75" customHeight="1" x14ac:dyDescent="0.2"/>
    <row r="18" spans="1:1" ht="12.75" customHeight="1" x14ac:dyDescent="0.2">
      <c r="A18" s="2"/>
    </row>
    <row r="19" spans="1:1" ht="12.75" customHeight="1" x14ac:dyDescent="0.2"/>
    <row r="20" spans="1:1" ht="12.75" customHeight="1" x14ac:dyDescent="0.2"/>
    <row r="21" spans="1:1" ht="12.75" customHeight="1" x14ac:dyDescent="0.2"/>
    <row r="22" spans="1:1" ht="12.75" customHeight="1" x14ac:dyDescent="0.2"/>
    <row r="23" spans="1:1" ht="12.75" customHeight="1" x14ac:dyDescent="0.2"/>
    <row r="24" spans="1:1" ht="12.75" customHeight="1" x14ac:dyDescent="0.2"/>
    <row r="25" spans="1:1" ht="12.75" customHeight="1" x14ac:dyDescent="0.2"/>
    <row r="26" spans="1:1" ht="12.75" customHeight="1" x14ac:dyDescent="0.2"/>
    <row r="27" spans="1:1" ht="12.75" customHeight="1" x14ac:dyDescent="0.2"/>
    <row r="28" spans="1:1" ht="12.75" customHeight="1" x14ac:dyDescent="0.2"/>
    <row r="29" spans="1:1" ht="12.75" customHeight="1" x14ac:dyDescent="0.2"/>
    <row r="30" spans="1:1" ht="12.75" customHeight="1" x14ac:dyDescent="0.2"/>
    <row r="31" spans="1:1" ht="12.75" customHeight="1" x14ac:dyDescent="0.2"/>
    <row r="32" spans="1:1" ht="12.75" customHeight="1" x14ac:dyDescent="0.2"/>
    <row r="33" ht="12.75" customHeight="1" x14ac:dyDescent="0.2"/>
  </sheetData>
  <pageMargins left="0.7" right="0.7" top="0.75" bottom="0.75" header="0.3" footer="0.3"/>
  <pageSetup paperSize="9" orientation="portrait" r:id="rId1"/>
  <headerFooter>
    <oddHeader xml:space="preserve">&amp;LVERSIE 16-2-2021
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4"/>
  <sheetViews>
    <sheetView view="pageLayout" zoomScaleNormal="100" workbookViewId="0">
      <selection activeCell="D11" sqref="D11"/>
    </sheetView>
  </sheetViews>
  <sheetFormatPr defaultColWidth="8.85546875" defaultRowHeight="12.75" x14ac:dyDescent="0.2"/>
  <cols>
    <col min="1" max="1" width="20.140625" bestFit="1" customWidth="1"/>
    <col min="2" max="2" width="26" customWidth="1"/>
    <col min="3" max="3" width="26.28515625" customWidth="1"/>
    <col min="4" max="4" width="21" bestFit="1" customWidth="1"/>
    <col min="5" max="5" width="13.85546875" bestFit="1" customWidth="1"/>
    <col min="257" max="257" width="14.7109375" customWidth="1"/>
    <col min="258" max="258" width="26" customWidth="1"/>
    <col min="259" max="259" width="26.28515625" customWidth="1"/>
    <col min="513" max="513" width="14.7109375" customWidth="1"/>
    <col min="514" max="514" width="26" customWidth="1"/>
    <col min="515" max="515" width="26.28515625" customWidth="1"/>
    <col min="769" max="769" width="14.7109375" customWidth="1"/>
    <col min="770" max="770" width="26" customWidth="1"/>
    <col min="771" max="771" width="26.28515625" customWidth="1"/>
    <col min="1025" max="1025" width="14.7109375" customWidth="1"/>
    <col min="1026" max="1026" width="26" customWidth="1"/>
    <col min="1027" max="1027" width="26.28515625" customWidth="1"/>
    <col min="1281" max="1281" width="14.7109375" customWidth="1"/>
    <col min="1282" max="1282" width="26" customWidth="1"/>
    <col min="1283" max="1283" width="26.28515625" customWidth="1"/>
    <col min="1537" max="1537" width="14.7109375" customWidth="1"/>
    <col min="1538" max="1538" width="26" customWidth="1"/>
    <col min="1539" max="1539" width="26.28515625" customWidth="1"/>
    <col min="1793" max="1793" width="14.7109375" customWidth="1"/>
    <col min="1794" max="1794" width="26" customWidth="1"/>
    <col min="1795" max="1795" width="26.28515625" customWidth="1"/>
    <col min="2049" max="2049" width="14.7109375" customWidth="1"/>
    <col min="2050" max="2050" width="26" customWidth="1"/>
    <col min="2051" max="2051" width="26.28515625" customWidth="1"/>
    <col min="2305" max="2305" width="14.7109375" customWidth="1"/>
    <col min="2306" max="2306" width="26" customWidth="1"/>
    <col min="2307" max="2307" width="26.28515625" customWidth="1"/>
    <col min="2561" max="2561" width="14.7109375" customWidth="1"/>
    <col min="2562" max="2562" width="26" customWidth="1"/>
    <col min="2563" max="2563" width="26.28515625" customWidth="1"/>
    <col min="2817" max="2817" width="14.7109375" customWidth="1"/>
    <col min="2818" max="2818" width="26" customWidth="1"/>
    <col min="2819" max="2819" width="26.28515625" customWidth="1"/>
    <col min="3073" max="3073" width="14.7109375" customWidth="1"/>
    <col min="3074" max="3074" width="26" customWidth="1"/>
    <col min="3075" max="3075" width="26.28515625" customWidth="1"/>
    <col min="3329" max="3329" width="14.7109375" customWidth="1"/>
    <col min="3330" max="3330" width="26" customWidth="1"/>
    <col min="3331" max="3331" width="26.28515625" customWidth="1"/>
    <col min="3585" max="3585" width="14.7109375" customWidth="1"/>
    <col min="3586" max="3586" width="26" customWidth="1"/>
    <col min="3587" max="3587" width="26.28515625" customWidth="1"/>
    <col min="3841" max="3841" width="14.7109375" customWidth="1"/>
    <col min="3842" max="3842" width="26" customWidth="1"/>
    <col min="3843" max="3843" width="26.28515625" customWidth="1"/>
    <col min="4097" max="4097" width="14.7109375" customWidth="1"/>
    <col min="4098" max="4098" width="26" customWidth="1"/>
    <col min="4099" max="4099" width="26.28515625" customWidth="1"/>
    <col min="4353" max="4353" width="14.7109375" customWidth="1"/>
    <col min="4354" max="4354" width="26" customWidth="1"/>
    <col min="4355" max="4355" width="26.28515625" customWidth="1"/>
    <col min="4609" max="4609" width="14.7109375" customWidth="1"/>
    <col min="4610" max="4610" width="26" customWidth="1"/>
    <col min="4611" max="4611" width="26.28515625" customWidth="1"/>
    <col min="4865" max="4865" width="14.7109375" customWidth="1"/>
    <col min="4866" max="4866" width="26" customWidth="1"/>
    <col min="4867" max="4867" width="26.28515625" customWidth="1"/>
    <col min="5121" max="5121" width="14.7109375" customWidth="1"/>
    <col min="5122" max="5122" width="26" customWidth="1"/>
    <col min="5123" max="5123" width="26.28515625" customWidth="1"/>
    <col min="5377" max="5377" width="14.7109375" customWidth="1"/>
    <col min="5378" max="5378" width="26" customWidth="1"/>
    <col min="5379" max="5379" width="26.28515625" customWidth="1"/>
    <col min="5633" max="5633" width="14.7109375" customWidth="1"/>
    <col min="5634" max="5634" width="26" customWidth="1"/>
    <col min="5635" max="5635" width="26.28515625" customWidth="1"/>
    <col min="5889" max="5889" width="14.7109375" customWidth="1"/>
    <col min="5890" max="5890" width="26" customWidth="1"/>
    <col min="5891" max="5891" width="26.28515625" customWidth="1"/>
    <col min="6145" max="6145" width="14.7109375" customWidth="1"/>
    <col min="6146" max="6146" width="26" customWidth="1"/>
    <col min="6147" max="6147" width="26.28515625" customWidth="1"/>
    <col min="6401" max="6401" width="14.7109375" customWidth="1"/>
    <col min="6402" max="6402" width="26" customWidth="1"/>
    <col min="6403" max="6403" width="26.28515625" customWidth="1"/>
    <col min="6657" max="6657" width="14.7109375" customWidth="1"/>
    <col min="6658" max="6658" width="26" customWidth="1"/>
    <col min="6659" max="6659" width="26.28515625" customWidth="1"/>
    <col min="6913" max="6913" width="14.7109375" customWidth="1"/>
    <col min="6914" max="6914" width="26" customWidth="1"/>
    <col min="6915" max="6915" width="26.28515625" customWidth="1"/>
    <col min="7169" max="7169" width="14.7109375" customWidth="1"/>
    <col min="7170" max="7170" width="26" customWidth="1"/>
    <col min="7171" max="7171" width="26.28515625" customWidth="1"/>
    <col min="7425" max="7425" width="14.7109375" customWidth="1"/>
    <col min="7426" max="7426" width="26" customWidth="1"/>
    <col min="7427" max="7427" width="26.28515625" customWidth="1"/>
    <col min="7681" max="7681" width="14.7109375" customWidth="1"/>
    <col min="7682" max="7682" width="26" customWidth="1"/>
    <col min="7683" max="7683" width="26.28515625" customWidth="1"/>
    <col min="7937" max="7937" width="14.7109375" customWidth="1"/>
    <col min="7938" max="7938" width="26" customWidth="1"/>
    <col min="7939" max="7939" width="26.28515625" customWidth="1"/>
    <col min="8193" max="8193" width="14.7109375" customWidth="1"/>
    <col min="8194" max="8194" width="26" customWidth="1"/>
    <col min="8195" max="8195" width="26.28515625" customWidth="1"/>
    <col min="8449" max="8449" width="14.7109375" customWidth="1"/>
    <col min="8450" max="8450" width="26" customWidth="1"/>
    <col min="8451" max="8451" width="26.28515625" customWidth="1"/>
    <col min="8705" max="8705" width="14.7109375" customWidth="1"/>
    <col min="8706" max="8706" width="26" customWidth="1"/>
    <col min="8707" max="8707" width="26.28515625" customWidth="1"/>
    <col min="8961" max="8961" width="14.7109375" customWidth="1"/>
    <col min="8962" max="8962" width="26" customWidth="1"/>
    <col min="8963" max="8963" width="26.28515625" customWidth="1"/>
    <col min="9217" max="9217" width="14.7109375" customWidth="1"/>
    <col min="9218" max="9218" width="26" customWidth="1"/>
    <col min="9219" max="9219" width="26.28515625" customWidth="1"/>
    <col min="9473" max="9473" width="14.7109375" customWidth="1"/>
    <col min="9474" max="9474" width="26" customWidth="1"/>
    <col min="9475" max="9475" width="26.28515625" customWidth="1"/>
    <col min="9729" max="9729" width="14.7109375" customWidth="1"/>
    <col min="9730" max="9730" width="26" customWidth="1"/>
    <col min="9731" max="9731" width="26.28515625" customWidth="1"/>
    <col min="9985" max="9985" width="14.7109375" customWidth="1"/>
    <col min="9986" max="9986" width="26" customWidth="1"/>
    <col min="9987" max="9987" width="26.28515625" customWidth="1"/>
    <col min="10241" max="10241" width="14.7109375" customWidth="1"/>
    <col min="10242" max="10242" width="26" customWidth="1"/>
    <col min="10243" max="10243" width="26.28515625" customWidth="1"/>
    <col min="10497" max="10497" width="14.7109375" customWidth="1"/>
    <col min="10498" max="10498" width="26" customWidth="1"/>
    <col min="10499" max="10499" width="26.28515625" customWidth="1"/>
    <col min="10753" max="10753" width="14.7109375" customWidth="1"/>
    <col min="10754" max="10754" width="26" customWidth="1"/>
    <col min="10755" max="10755" width="26.28515625" customWidth="1"/>
    <col min="11009" max="11009" width="14.7109375" customWidth="1"/>
    <col min="11010" max="11010" width="26" customWidth="1"/>
    <col min="11011" max="11011" width="26.28515625" customWidth="1"/>
    <col min="11265" max="11265" width="14.7109375" customWidth="1"/>
    <col min="11266" max="11266" width="26" customWidth="1"/>
    <col min="11267" max="11267" width="26.28515625" customWidth="1"/>
    <col min="11521" max="11521" width="14.7109375" customWidth="1"/>
    <col min="11522" max="11522" width="26" customWidth="1"/>
    <col min="11523" max="11523" width="26.28515625" customWidth="1"/>
    <col min="11777" max="11777" width="14.7109375" customWidth="1"/>
    <col min="11778" max="11778" width="26" customWidth="1"/>
    <col min="11779" max="11779" width="26.28515625" customWidth="1"/>
    <col min="12033" max="12033" width="14.7109375" customWidth="1"/>
    <col min="12034" max="12034" width="26" customWidth="1"/>
    <col min="12035" max="12035" width="26.28515625" customWidth="1"/>
    <col min="12289" max="12289" width="14.7109375" customWidth="1"/>
    <col min="12290" max="12290" width="26" customWidth="1"/>
    <col min="12291" max="12291" width="26.28515625" customWidth="1"/>
    <col min="12545" max="12545" width="14.7109375" customWidth="1"/>
    <col min="12546" max="12546" width="26" customWidth="1"/>
    <col min="12547" max="12547" width="26.28515625" customWidth="1"/>
    <col min="12801" max="12801" width="14.7109375" customWidth="1"/>
    <col min="12802" max="12802" width="26" customWidth="1"/>
    <col min="12803" max="12803" width="26.28515625" customWidth="1"/>
    <col min="13057" max="13057" width="14.7109375" customWidth="1"/>
    <col min="13058" max="13058" width="26" customWidth="1"/>
    <col min="13059" max="13059" width="26.28515625" customWidth="1"/>
    <col min="13313" max="13313" width="14.7109375" customWidth="1"/>
    <col min="13314" max="13314" width="26" customWidth="1"/>
    <col min="13315" max="13315" width="26.28515625" customWidth="1"/>
    <col min="13569" max="13569" width="14.7109375" customWidth="1"/>
    <col min="13570" max="13570" width="26" customWidth="1"/>
    <col min="13571" max="13571" width="26.28515625" customWidth="1"/>
    <col min="13825" max="13825" width="14.7109375" customWidth="1"/>
    <col min="13826" max="13826" width="26" customWidth="1"/>
    <col min="13827" max="13827" width="26.28515625" customWidth="1"/>
    <col min="14081" max="14081" width="14.7109375" customWidth="1"/>
    <col min="14082" max="14082" width="26" customWidth="1"/>
    <col min="14083" max="14083" width="26.28515625" customWidth="1"/>
    <col min="14337" max="14337" width="14.7109375" customWidth="1"/>
    <col min="14338" max="14338" width="26" customWidth="1"/>
    <col min="14339" max="14339" width="26.28515625" customWidth="1"/>
    <col min="14593" max="14593" width="14.7109375" customWidth="1"/>
    <col min="14594" max="14594" width="26" customWidth="1"/>
    <col min="14595" max="14595" width="26.28515625" customWidth="1"/>
    <col min="14849" max="14849" width="14.7109375" customWidth="1"/>
    <col min="14850" max="14850" width="26" customWidth="1"/>
    <col min="14851" max="14851" width="26.28515625" customWidth="1"/>
    <col min="15105" max="15105" width="14.7109375" customWidth="1"/>
    <col min="15106" max="15106" width="26" customWidth="1"/>
    <col min="15107" max="15107" width="26.28515625" customWidth="1"/>
    <col min="15361" max="15361" width="14.7109375" customWidth="1"/>
    <col min="15362" max="15362" width="26" customWidth="1"/>
    <col min="15363" max="15363" width="26.28515625" customWidth="1"/>
    <col min="15617" max="15617" width="14.7109375" customWidth="1"/>
    <col min="15618" max="15618" width="26" customWidth="1"/>
    <col min="15619" max="15619" width="26.28515625" customWidth="1"/>
    <col min="15873" max="15873" width="14.7109375" customWidth="1"/>
    <col min="15874" max="15874" width="26" customWidth="1"/>
    <col min="15875" max="15875" width="26.28515625" customWidth="1"/>
    <col min="16129" max="16129" width="14.7109375" customWidth="1"/>
    <col min="16130" max="16130" width="26" customWidth="1"/>
    <col min="16131" max="16131" width="26.28515625" customWidth="1"/>
  </cols>
  <sheetData>
    <row r="1" spans="1:5" x14ac:dyDescent="0.2">
      <c r="A1" s="109" t="s">
        <v>29</v>
      </c>
      <c r="B1" s="110" t="s">
        <v>30</v>
      </c>
      <c r="C1" s="110"/>
      <c r="D1" s="111" t="s">
        <v>8</v>
      </c>
      <c r="E1" s="112" t="s">
        <v>15</v>
      </c>
    </row>
    <row r="2" spans="1:5" x14ac:dyDescent="0.2">
      <c r="A2" s="113" t="s">
        <v>31</v>
      </c>
      <c r="B2" s="114">
        <f>E20</f>
        <v>18802.404999999999</v>
      </c>
      <c r="C2" s="115" t="s">
        <v>32</v>
      </c>
      <c r="D2" s="108">
        <v>0</v>
      </c>
      <c r="E2" s="116">
        <f t="shared" ref="E2" si="0">B2*D2</f>
        <v>0</v>
      </c>
    </row>
    <row r="3" spans="1:5" x14ac:dyDescent="0.2">
      <c r="A3" s="108"/>
      <c r="B3" s="114"/>
      <c r="C3" s="115"/>
      <c r="D3" s="108"/>
      <c r="E3" s="117"/>
    </row>
    <row r="4" spans="1:5" x14ac:dyDescent="0.2">
      <c r="A4" s="2" t="s">
        <v>33</v>
      </c>
      <c r="B4" s="106">
        <v>2017</v>
      </c>
    </row>
    <row r="5" spans="1:5" x14ac:dyDescent="0.2">
      <c r="A5" s="103" t="s">
        <v>34</v>
      </c>
      <c r="B5" s="103" t="s">
        <v>35</v>
      </c>
      <c r="C5" s="103" t="s">
        <v>36</v>
      </c>
      <c r="D5" s="103" t="s">
        <v>37</v>
      </c>
    </row>
    <row r="6" spans="1:5" x14ac:dyDescent="0.2">
      <c r="A6" s="101">
        <v>42736</v>
      </c>
      <c r="B6" s="104">
        <v>1936.6959999999999</v>
      </c>
      <c r="C6" s="104">
        <v>-85.227000000000004</v>
      </c>
    </row>
    <row r="7" spans="1:5" x14ac:dyDescent="0.2">
      <c r="A7" s="101">
        <v>42767</v>
      </c>
      <c r="B7" s="104">
        <v>1425.02</v>
      </c>
      <c r="C7" s="104">
        <v>-219.58500000000001</v>
      </c>
    </row>
    <row r="8" spans="1:5" x14ac:dyDescent="0.2">
      <c r="A8" s="101">
        <v>42795</v>
      </c>
      <c r="B8" s="104">
        <v>1027.364</v>
      </c>
      <c r="C8" s="104">
        <v>-1219.5550000000001</v>
      </c>
    </row>
    <row r="9" spans="1:5" x14ac:dyDescent="0.2">
      <c r="A9" s="101">
        <v>42826</v>
      </c>
      <c r="B9" s="104">
        <v>653.16000000000008</v>
      </c>
      <c r="C9" s="104">
        <v>-1973.5729999999999</v>
      </c>
    </row>
    <row r="10" spans="1:5" x14ac:dyDescent="0.2">
      <c r="A10" s="101">
        <v>42856</v>
      </c>
      <c r="B10" s="104">
        <v>566.61899999999991</v>
      </c>
      <c r="C10" s="104">
        <v>-2417.0940000000001</v>
      </c>
    </row>
    <row r="11" spans="1:5" x14ac:dyDescent="0.2">
      <c r="A11" s="101">
        <v>42887</v>
      </c>
      <c r="B11" s="104">
        <v>467.25</v>
      </c>
      <c r="C11" s="104">
        <v>-2562.8580000000002</v>
      </c>
    </row>
    <row r="12" spans="1:5" x14ac:dyDescent="0.2">
      <c r="A12" s="101">
        <v>42917</v>
      </c>
      <c r="B12" s="104">
        <v>516.37899999999991</v>
      </c>
      <c r="C12" s="104">
        <v>-2296.806</v>
      </c>
    </row>
    <row r="13" spans="1:5" x14ac:dyDescent="0.2">
      <c r="A13" s="101">
        <v>42948</v>
      </c>
      <c r="B13" s="104">
        <v>551.48199999999997</v>
      </c>
      <c r="C13" s="104">
        <v>-2083.741</v>
      </c>
    </row>
    <row r="14" spans="1:5" x14ac:dyDescent="0.2">
      <c r="A14" s="101">
        <v>42979</v>
      </c>
      <c r="B14" s="104">
        <v>742.97799999999995</v>
      </c>
      <c r="C14" s="104">
        <v>-1247.7069999999999</v>
      </c>
    </row>
    <row r="15" spans="1:5" x14ac:dyDescent="0.2">
      <c r="A15" s="101">
        <v>43009</v>
      </c>
      <c r="B15" s="104">
        <v>1006.4200000000001</v>
      </c>
      <c r="C15" s="104">
        <v>-420.96199999999999</v>
      </c>
    </row>
    <row r="16" spans="1:5" x14ac:dyDescent="0.2">
      <c r="A16" s="101">
        <v>43040</v>
      </c>
      <c r="B16" s="104">
        <v>1116.6300000000001</v>
      </c>
      <c r="C16" s="104">
        <v>-155.52600000000001</v>
      </c>
    </row>
    <row r="17" spans="1:5" x14ac:dyDescent="0.2">
      <c r="A17" s="101">
        <v>43070</v>
      </c>
      <c r="B17" s="104">
        <v>1302.17</v>
      </c>
      <c r="C17" s="104">
        <v>-37.128999999999998</v>
      </c>
    </row>
    <row r="20" spans="1:5" x14ac:dyDescent="0.2">
      <c r="A20" t="s">
        <v>32</v>
      </c>
      <c r="B20" s="104">
        <f>SUM(B6:B17)</f>
        <v>11312.168</v>
      </c>
      <c r="C20" s="104">
        <f>SUM(C6:C17)</f>
        <v>-14719.763000000001</v>
      </c>
      <c r="D20" s="104">
        <v>22210</v>
      </c>
      <c r="E20">
        <f>B20+(C20+D20)</f>
        <v>18802.404999999999</v>
      </c>
    </row>
    <row r="21" spans="1:5" x14ac:dyDescent="0.2">
      <c r="B21" s="105" t="s">
        <v>38</v>
      </c>
      <c r="C21" s="105" t="s">
        <v>39</v>
      </c>
      <c r="D21" s="103" t="s">
        <v>37</v>
      </c>
      <c r="E21" s="105" t="s">
        <v>40</v>
      </c>
    </row>
    <row r="23" spans="1:5" x14ac:dyDescent="0.2">
      <c r="A23" t="s">
        <v>41</v>
      </c>
      <c r="B23" t="s">
        <v>42</v>
      </c>
    </row>
    <row r="24" spans="1:5" x14ac:dyDescent="0.2">
      <c r="B24" t="s">
        <v>43</v>
      </c>
    </row>
  </sheetData>
  <pageMargins left="0.7" right="0.7" top="0.75" bottom="0.75" header="0.3" footer="0.3"/>
  <pageSetup paperSize="9" scale="83" orientation="portrait" r:id="rId1"/>
  <headerFooter>
    <oddHeader>&amp;LVERSIE 9 mei 2019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21"/>
  <sheetViews>
    <sheetView showGridLines="0" view="pageLayout" zoomScaleNormal="100" workbookViewId="0">
      <selection activeCell="A23" sqref="A23"/>
    </sheetView>
  </sheetViews>
  <sheetFormatPr defaultColWidth="0" defaultRowHeight="14.25" x14ac:dyDescent="0.2"/>
  <cols>
    <col min="1" max="1" width="32.140625" style="53" customWidth="1"/>
    <col min="2" max="2" width="17.140625" style="53" customWidth="1"/>
    <col min="3" max="3" width="7.42578125" style="53" customWidth="1"/>
    <col min="4" max="4" width="9" style="53" customWidth="1"/>
    <col min="5" max="5" width="9.140625" style="53" bestFit="1" customWidth="1"/>
    <col min="6" max="6" width="9.42578125" style="53" customWidth="1"/>
    <col min="7" max="7" width="8.85546875" style="53" bestFit="1" customWidth="1"/>
    <col min="8" max="8" width="2.42578125" style="53" customWidth="1"/>
    <col min="9" max="16384" width="9.140625" style="53" hidden="1"/>
  </cols>
  <sheetData>
    <row r="2" spans="1:7" ht="23.25" x14ac:dyDescent="0.2">
      <c r="A2" s="409">
        <v>2017</v>
      </c>
      <c r="B2" s="409"/>
      <c r="C2" s="409"/>
      <c r="D2" s="409"/>
      <c r="E2" s="409"/>
      <c r="F2" s="409"/>
      <c r="G2" s="409"/>
    </row>
    <row r="3" spans="1:7" x14ac:dyDescent="0.2">
      <c r="A3" s="26" t="s">
        <v>44</v>
      </c>
      <c r="B3" s="7"/>
      <c r="C3" s="7"/>
      <c r="E3" s="7"/>
    </row>
    <row r="4" spans="1:7" x14ac:dyDescent="0.2">
      <c r="A4" s="52" t="s">
        <v>45</v>
      </c>
      <c r="B4" s="52"/>
      <c r="C4" s="52"/>
      <c r="D4" s="52"/>
      <c r="E4" s="52"/>
      <c r="F4" s="52"/>
      <c r="G4" s="52"/>
    </row>
    <row r="5" spans="1:7" x14ac:dyDescent="0.2">
      <c r="A5" s="3" t="s">
        <v>13</v>
      </c>
      <c r="B5" s="24">
        <f>'Dieselolie 2017'!B8</f>
        <v>33037</v>
      </c>
      <c r="C5" s="3" t="s">
        <v>46</v>
      </c>
      <c r="D5" s="25"/>
      <c r="E5" s="4">
        <f>'Dieselolie 2017'!C8</f>
        <v>109319.433</v>
      </c>
      <c r="F5" s="3" t="s">
        <v>10</v>
      </c>
      <c r="G5" s="27">
        <f>E5/$E$12</f>
        <v>0.9031100844827582</v>
      </c>
    </row>
    <row r="6" spans="1:7" x14ac:dyDescent="0.2">
      <c r="A6" s="3" t="s">
        <v>47</v>
      </c>
      <c r="B6" s="24">
        <f>'Euro 95 2017'!B8</f>
        <v>4066.68</v>
      </c>
      <c r="C6" s="3" t="s">
        <v>46</v>
      </c>
      <c r="D6" s="25"/>
      <c r="E6" s="4">
        <f>'Euro 95 2017'!C8</f>
        <v>11728.305119999999</v>
      </c>
      <c r="F6" s="3" t="s">
        <v>10</v>
      </c>
      <c r="G6" s="27">
        <f>E6/$E$12</f>
        <v>9.6889915517241701E-2</v>
      </c>
    </row>
    <row r="7" spans="1:7" x14ac:dyDescent="0.2">
      <c r="A7" s="408" t="s">
        <v>48</v>
      </c>
      <c r="B7" s="408"/>
      <c r="C7" s="408"/>
      <c r="D7" s="408"/>
      <c r="E7" s="22">
        <f>SUM(E5:E6)</f>
        <v>121047.73812000001</v>
      </c>
      <c r="F7" s="7" t="s">
        <v>10</v>
      </c>
      <c r="G7" s="28">
        <f>E7/$E$12</f>
        <v>1</v>
      </c>
    </row>
    <row r="8" spans="1:7" x14ac:dyDescent="0.2">
      <c r="A8" s="52" t="s">
        <v>49</v>
      </c>
      <c r="B8" s="52"/>
      <c r="C8" s="52"/>
      <c r="D8" s="52"/>
      <c r="E8" s="52"/>
      <c r="F8" s="52"/>
      <c r="G8" s="52"/>
    </row>
    <row r="9" spans="1:7" ht="14.25" customHeight="1" x14ac:dyDescent="0.2">
      <c r="A9" s="3" t="s">
        <v>50</v>
      </c>
      <c r="B9" s="4">
        <f>'Elektra 2017'!B2</f>
        <v>18802.404999999999</v>
      </c>
      <c r="C9" s="3" t="s">
        <v>32</v>
      </c>
      <c r="D9" s="25"/>
      <c r="E9" s="4">
        <f>'Elektra 2017'!D2</f>
        <v>0</v>
      </c>
      <c r="F9" s="3" t="s">
        <v>10</v>
      </c>
      <c r="G9" s="27">
        <f>E9/E12</f>
        <v>0</v>
      </c>
    </row>
    <row r="10" spans="1:7" x14ac:dyDescent="0.2">
      <c r="A10" s="408" t="s">
        <v>48</v>
      </c>
      <c r="B10" s="408"/>
      <c r="C10" s="408"/>
      <c r="D10" s="408"/>
      <c r="E10" s="22">
        <f>SUM(E9:E9)</f>
        <v>0</v>
      </c>
      <c r="F10" s="7" t="s">
        <v>10</v>
      </c>
      <c r="G10" s="28">
        <f>E10/E12</f>
        <v>0</v>
      </c>
    </row>
    <row r="11" spans="1:7" x14ac:dyDescent="0.2">
      <c r="A11" s="52" t="s">
        <v>12</v>
      </c>
      <c r="B11" s="52"/>
      <c r="C11" s="52"/>
      <c r="D11" s="52"/>
      <c r="E11" s="52"/>
      <c r="F11" s="52"/>
      <c r="G11" s="52"/>
    </row>
    <row r="12" spans="1:7" x14ac:dyDescent="0.2">
      <c r="A12" s="26"/>
      <c r="B12" s="26"/>
      <c r="C12" s="26"/>
      <c r="D12" s="23" t="s">
        <v>51</v>
      </c>
      <c r="E12" s="22">
        <f>E10+E7</f>
        <v>121047.73812000001</v>
      </c>
      <c r="F12" s="7" t="s">
        <v>10</v>
      </c>
      <c r="G12" s="100">
        <f>G7+G10</f>
        <v>1</v>
      </c>
    </row>
    <row r="14" spans="1:7" x14ac:dyDescent="0.2">
      <c r="B14" s="4"/>
    </row>
    <row r="16" spans="1:7" x14ac:dyDescent="0.2">
      <c r="A16" s="54" t="s">
        <v>52</v>
      </c>
      <c r="B16" s="55"/>
      <c r="C16" s="26"/>
      <c r="D16" s="26"/>
      <c r="E16" s="26"/>
      <c r="F16" s="26"/>
      <c r="G16" s="26"/>
    </row>
    <row r="17" spans="1:7" x14ac:dyDescent="0.2">
      <c r="A17" s="56" t="s">
        <v>53</v>
      </c>
      <c r="B17" s="57">
        <v>43594</v>
      </c>
      <c r="C17" s="26"/>
      <c r="D17" s="26"/>
      <c r="E17" s="26"/>
      <c r="F17" s="26"/>
      <c r="G17" s="26"/>
    </row>
    <row r="18" spans="1:7" x14ac:dyDescent="0.2">
      <c r="A18" s="56" t="s">
        <v>54</v>
      </c>
      <c r="B18" s="58"/>
      <c r="C18" s="26"/>
      <c r="D18" s="26"/>
      <c r="E18" s="26"/>
      <c r="F18" s="26"/>
      <c r="G18" s="26"/>
    </row>
    <row r="19" spans="1:7" x14ac:dyDescent="0.2">
      <c r="A19" s="59" t="s">
        <v>53</v>
      </c>
      <c r="B19" s="60">
        <v>44243</v>
      </c>
      <c r="C19" s="26"/>
      <c r="D19" s="26"/>
      <c r="E19" s="26"/>
      <c r="F19" s="26"/>
      <c r="G19" s="26"/>
    </row>
    <row r="20" spans="1:7" x14ac:dyDescent="0.2">
      <c r="A20" s="26"/>
      <c r="B20" s="26"/>
      <c r="C20" s="26"/>
      <c r="D20" s="26"/>
      <c r="E20" s="26"/>
      <c r="F20" s="26"/>
      <c r="G20" s="26"/>
    </row>
    <row r="21" spans="1:7" x14ac:dyDescent="0.2">
      <c r="A21" s="408"/>
      <c r="B21" s="408"/>
      <c r="C21" s="408"/>
      <c r="D21" s="408"/>
      <c r="E21" s="50"/>
      <c r="F21" s="7"/>
      <c r="G21" s="28"/>
    </row>
  </sheetData>
  <mergeCells count="4">
    <mergeCell ref="A7:D7"/>
    <mergeCell ref="A10:D10"/>
    <mergeCell ref="A2:G2"/>
    <mergeCell ref="A21:D21"/>
  </mergeCells>
  <pageMargins left="0.7" right="0.7" top="0.75" bottom="0.75" header="0.3" footer="0.3"/>
  <pageSetup paperSize="9" scale="95" orientation="portrait" horizontalDpi="4294967294" r:id="rId1"/>
  <headerFooter>
    <oddHeader>&amp;LVERSIE 16-2-2021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C111"/>
  <sheetViews>
    <sheetView view="pageLayout" topLeftCell="A11" zoomScaleNormal="100" workbookViewId="0">
      <selection activeCell="A20" sqref="A20"/>
    </sheetView>
  </sheetViews>
  <sheetFormatPr defaultColWidth="0" defaultRowHeight="12.75" x14ac:dyDescent="0.2"/>
  <cols>
    <col min="1" max="1" width="40.28515625" style="1" bestFit="1" customWidth="1"/>
    <col min="2" max="2" width="25.28515625" style="1" customWidth="1"/>
    <col min="3" max="4" width="11.42578125" bestFit="1" customWidth="1"/>
    <col min="5" max="5" width="9.140625" hidden="1" customWidth="1"/>
    <col min="6" max="6" width="10" hidden="1" customWidth="1"/>
    <col min="7" max="7" width="11" hidden="1" customWidth="1"/>
    <col min="8" max="16383" width="9.140625" hidden="1"/>
  </cols>
  <sheetData>
    <row r="1" spans="1:4" ht="15.75" x14ac:dyDescent="0.25">
      <c r="A1" s="6" t="s">
        <v>6</v>
      </c>
      <c r="B1" s="49" t="s">
        <v>55</v>
      </c>
    </row>
    <row r="2" spans="1:4" ht="15.75" x14ac:dyDescent="0.25">
      <c r="A2" s="6"/>
    </row>
    <row r="3" spans="1:4" x14ac:dyDescent="0.2">
      <c r="A3" s="10" t="s">
        <v>8</v>
      </c>
      <c r="B3" s="11">
        <v>3.3090000000000002</v>
      </c>
    </row>
    <row r="4" spans="1:4" x14ac:dyDescent="0.2">
      <c r="C4" s="2"/>
      <c r="D4" s="2"/>
    </row>
    <row r="5" spans="1:4" x14ac:dyDescent="0.2">
      <c r="A5" s="306"/>
      <c r="B5" s="35" t="s">
        <v>9</v>
      </c>
      <c r="C5" s="307" t="s">
        <v>10</v>
      </c>
    </row>
    <row r="6" spans="1:4" x14ac:dyDescent="0.2">
      <c r="A6" s="308" t="s">
        <v>56</v>
      </c>
      <c r="B6" s="38">
        <f>C16</f>
        <v>45653.87</v>
      </c>
      <c r="C6" s="309">
        <f t="shared" ref="C6:C8" si="0">B6*$B$3</f>
        <v>151068.65583</v>
      </c>
    </row>
    <row r="7" spans="1:4" x14ac:dyDescent="0.2">
      <c r="A7" s="34"/>
      <c r="B7" s="39"/>
      <c r="C7" s="36"/>
    </row>
    <row r="8" spans="1:4" x14ac:dyDescent="0.2">
      <c r="A8" s="31" t="s">
        <v>12</v>
      </c>
      <c r="B8" s="40">
        <f>SUM(B6:B7)</f>
        <v>45653.87</v>
      </c>
      <c r="C8" s="37">
        <f t="shared" si="0"/>
        <v>151068.65583</v>
      </c>
    </row>
    <row r="10" spans="1:4" x14ac:dyDescent="0.2">
      <c r="C10" s="66"/>
    </row>
    <row r="11" spans="1:4" ht="15" x14ac:dyDescent="0.25">
      <c r="A11" s="310" t="s">
        <v>13</v>
      </c>
      <c r="B11" s="14" t="s">
        <v>14</v>
      </c>
      <c r="C11" s="14" t="s">
        <v>9</v>
      </c>
      <c r="D11" s="14" t="s">
        <v>15</v>
      </c>
    </row>
    <row r="12" spans="1:4" x14ac:dyDescent="0.2">
      <c r="A12" s="71"/>
      <c r="B12" s="33"/>
      <c r="C12" s="65"/>
      <c r="D12" s="16"/>
    </row>
    <row r="13" spans="1:4" x14ac:dyDescent="0.2">
      <c r="A13" s="61" t="s">
        <v>57</v>
      </c>
      <c r="B13" s="33" t="s">
        <v>58</v>
      </c>
      <c r="C13" s="65">
        <v>760.97</v>
      </c>
      <c r="D13" s="16"/>
    </row>
    <row r="14" spans="1:4" x14ac:dyDescent="0.2">
      <c r="A14" s="61" t="s">
        <v>59</v>
      </c>
      <c r="B14" s="33" t="s">
        <v>58</v>
      </c>
      <c r="C14" s="65">
        <v>44892.9</v>
      </c>
      <c r="D14" s="16"/>
    </row>
    <row r="15" spans="1:4" s="63" customFormat="1" x14ac:dyDescent="0.2">
      <c r="A15" s="15"/>
      <c r="B15" s="33"/>
      <c r="C15" s="83"/>
      <c r="D15" s="144"/>
    </row>
    <row r="16" spans="1:4" s="95" customFormat="1" x14ac:dyDescent="0.2">
      <c r="A16" s="69"/>
      <c r="B16" s="87"/>
      <c r="C16" s="91">
        <f>SUM(C13+C14)</f>
        <v>45653.87</v>
      </c>
      <c r="D16" s="91">
        <f t="shared" ref="D16" si="1">C16*$B$3</f>
        <v>151068.65583</v>
      </c>
    </row>
    <row r="17" spans="1:4" s="63" customFormat="1" x14ac:dyDescent="0.2">
      <c r="A17" s="15"/>
      <c r="B17" s="73"/>
      <c r="C17" s="83"/>
      <c r="D17" s="64"/>
    </row>
    <row r="18" spans="1:4" s="63" customFormat="1" x14ac:dyDescent="0.2">
      <c r="A18" s="15"/>
      <c r="B18" s="73"/>
      <c r="C18" s="83"/>
      <c r="D18" s="64"/>
    </row>
    <row r="19" spans="1:4" x14ac:dyDescent="0.2">
      <c r="A19" s="15"/>
      <c r="B19" s="33"/>
      <c r="C19" s="65"/>
      <c r="D19" s="16"/>
    </row>
    <row r="20" spans="1:4" x14ac:dyDescent="0.2">
      <c r="A20" s="69"/>
      <c r="B20" s="33"/>
      <c r="C20" s="65"/>
      <c r="D20" s="16"/>
    </row>
    <row r="21" spans="1:4" x14ac:dyDescent="0.2">
      <c r="A21" s="61"/>
      <c r="B21" s="73"/>
      <c r="C21" s="65"/>
      <c r="D21" s="16"/>
    </row>
    <row r="22" spans="1:4" x14ac:dyDescent="0.2">
      <c r="A22" s="61"/>
      <c r="B22" s="73"/>
      <c r="C22" s="65"/>
      <c r="D22" s="16"/>
    </row>
    <row r="23" spans="1:4" x14ac:dyDescent="0.2">
      <c r="A23" s="61"/>
      <c r="B23" s="73"/>
      <c r="C23" s="65"/>
      <c r="D23" s="16"/>
    </row>
    <row r="24" spans="1:4" x14ac:dyDescent="0.2">
      <c r="A24" s="61"/>
      <c r="B24" s="73"/>
      <c r="C24" s="65"/>
      <c r="D24" s="16"/>
    </row>
    <row r="25" spans="1:4" x14ac:dyDescent="0.2">
      <c r="A25" s="61"/>
      <c r="B25" s="73"/>
      <c r="C25" s="65"/>
      <c r="D25" s="16"/>
    </row>
    <row r="26" spans="1:4" x14ac:dyDescent="0.2">
      <c r="A26" s="61"/>
      <c r="B26" s="73"/>
      <c r="C26" s="65"/>
      <c r="D26" s="16"/>
    </row>
    <row r="27" spans="1:4" x14ac:dyDescent="0.2">
      <c r="A27" s="61"/>
      <c r="B27" s="73"/>
      <c r="C27" s="65"/>
      <c r="D27" s="16"/>
    </row>
    <row r="28" spans="1:4" x14ac:dyDescent="0.2">
      <c r="A28" s="61"/>
      <c r="B28" s="73"/>
      <c r="C28" s="65"/>
      <c r="D28" s="16"/>
    </row>
    <row r="29" spans="1:4" x14ac:dyDescent="0.2">
      <c r="A29" s="61"/>
      <c r="B29" s="73"/>
      <c r="C29" s="65"/>
      <c r="D29" s="16"/>
    </row>
    <row r="30" spans="1:4" x14ac:dyDescent="0.2">
      <c r="A30" s="61"/>
      <c r="B30" s="73"/>
      <c r="C30" s="65"/>
      <c r="D30" s="16"/>
    </row>
    <row r="31" spans="1:4" x14ac:dyDescent="0.2">
      <c r="A31" s="61"/>
      <c r="B31" s="73"/>
      <c r="C31" s="65"/>
      <c r="D31" s="16"/>
    </row>
    <row r="32" spans="1:4" x14ac:dyDescent="0.2">
      <c r="A32" s="74"/>
      <c r="B32" s="73"/>
      <c r="C32" s="65"/>
      <c r="D32" s="16"/>
    </row>
    <row r="33" spans="1:4" x14ac:dyDescent="0.2">
      <c r="A33" s="61"/>
      <c r="B33" s="73"/>
      <c r="C33" s="65"/>
      <c r="D33" s="16"/>
    </row>
    <row r="34" spans="1:4" x14ac:dyDescent="0.2">
      <c r="A34" s="61"/>
      <c r="B34" s="73"/>
      <c r="C34" s="65"/>
      <c r="D34" s="16"/>
    </row>
    <row r="35" spans="1:4" s="66" customFormat="1" x14ac:dyDescent="0.2">
      <c r="A35" s="71"/>
      <c r="B35" s="87"/>
      <c r="C35" s="88"/>
      <c r="D35" s="67"/>
    </row>
    <row r="36" spans="1:4" x14ac:dyDescent="0.2">
      <c r="A36" s="61"/>
      <c r="B36" s="73"/>
      <c r="C36" s="65"/>
      <c r="D36" s="16"/>
    </row>
    <row r="37" spans="1:4" x14ac:dyDescent="0.2">
      <c r="A37" s="71"/>
      <c r="B37" s="73"/>
      <c r="C37" s="65"/>
      <c r="D37" s="16"/>
    </row>
    <row r="38" spans="1:4" x14ac:dyDescent="0.2">
      <c r="A38" s="61"/>
      <c r="B38" s="73"/>
      <c r="C38" s="65"/>
      <c r="D38" s="16"/>
    </row>
    <row r="39" spans="1:4" x14ac:dyDescent="0.2">
      <c r="A39" s="61"/>
      <c r="B39" s="73"/>
      <c r="C39" s="65"/>
      <c r="D39" s="16"/>
    </row>
    <row r="40" spans="1:4" x14ac:dyDescent="0.2">
      <c r="A40" s="61"/>
      <c r="B40" s="73"/>
      <c r="C40" s="65"/>
      <c r="D40" s="16"/>
    </row>
    <row r="41" spans="1:4" x14ac:dyDescent="0.2">
      <c r="A41" s="61"/>
      <c r="B41" s="73"/>
      <c r="C41" s="75"/>
      <c r="D41" s="16"/>
    </row>
    <row r="42" spans="1:4" x14ac:dyDescent="0.2">
      <c r="A42" s="61"/>
      <c r="B42" s="73"/>
      <c r="C42" s="65"/>
      <c r="D42" s="16"/>
    </row>
    <row r="43" spans="1:4" x14ac:dyDescent="0.2">
      <c r="A43" s="61"/>
      <c r="B43" s="33"/>
      <c r="C43" s="65"/>
      <c r="D43" s="16"/>
    </row>
    <row r="44" spans="1:4" s="66" customFormat="1" x14ac:dyDescent="0.2">
      <c r="A44" s="71"/>
      <c r="B44" s="90"/>
      <c r="C44" s="88"/>
      <c r="D44" s="67"/>
    </row>
    <row r="45" spans="1:4" x14ac:dyDescent="0.2">
      <c r="A45" s="61"/>
      <c r="B45" s="33"/>
      <c r="C45" s="65"/>
      <c r="D45" s="16"/>
    </row>
    <row r="46" spans="1:4" x14ac:dyDescent="0.2">
      <c r="A46" s="61"/>
      <c r="B46" s="33"/>
      <c r="C46" s="65"/>
      <c r="D46" s="16"/>
    </row>
    <row r="47" spans="1:4" x14ac:dyDescent="0.2">
      <c r="A47" s="61"/>
      <c r="B47" s="33"/>
      <c r="C47" s="65"/>
      <c r="D47" s="16"/>
    </row>
    <row r="48" spans="1:4" x14ac:dyDescent="0.2">
      <c r="A48" s="61"/>
      <c r="B48" s="33"/>
      <c r="C48" s="65"/>
      <c r="D48" s="16"/>
    </row>
    <row r="49" spans="1:4" x14ac:dyDescent="0.2">
      <c r="A49" s="61"/>
      <c r="B49" s="33"/>
      <c r="C49" s="65"/>
      <c r="D49" s="16"/>
    </row>
    <row r="50" spans="1:4" x14ac:dyDescent="0.2">
      <c r="A50" s="15"/>
      <c r="B50" s="33"/>
      <c r="C50" s="16"/>
      <c r="D50" s="16"/>
    </row>
    <row r="51" spans="1:4" x14ac:dyDescent="0.2">
      <c r="A51" s="15"/>
      <c r="B51" s="5"/>
      <c r="C51" s="16"/>
      <c r="D51" s="16"/>
    </row>
    <row r="53" spans="1:4" ht="15" x14ac:dyDescent="0.25">
      <c r="A53" s="346"/>
      <c r="B53" s="32"/>
      <c r="C53" s="32"/>
      <c r="D53" s="32"/>
    </row>
    <row r="54" spans="1:4" x14ac:dyDescent="0.2">
      <c r="A54" s="15"/>
      <c r="B54" s="33"/>
      <c r="C54" s="16"/>
      <c r="D54" s="16"/>
    </row>
    <row r="55" spans="1:4" x14ac:dyDescent="0.2">
      <c r="A55" s="61"/>
      <c r="B55" s="33"/>
      <c r="C55" s="77"/>
      <c r="D55" s="16"/>
    </row>
    <row r="56" spans="1:4" x14ac:dyDescent="0.2">
      <c r="A56" s="61"/>
      <c r="B56" s="33"/>
      <c r="C56" s="77"/>
      <c r="D56" s="16"/>
    </row>
    <row r="57" spans="1:4" x14ac:dyDescent="0.2">
      <c r="A57" s="61"/>
      <c r="B57" s="33"/>
      <c r="C57" s="77"/>
      <c r="D57" s="16"/>
    </row>
    <row r="58" spans="1:4" x14ac:dyDescent="0.2">
      <c r="A58" s="61"/>
      <c r="B58" s="33"/>
      <c r="C58" s="77"/>
      <c r="D58" s="16"/>
    </row>
    <row r="59" spans="1:4" x14ac:dyDescent="0.2">
      <c r="A59" s="61"/>
      <c r="B59" s="33"/>
      <c r="C59" s="77"/>
      <c r="D59" s="16"/>
    </row>
    <row r="60" spans="1:4" x14ac:dyDescent="0.2">
      <c r="C60" s="78"/>
      <c r="D60" s="16"/>
    </row>
    <row r="61" spans="1:4" s="66" customFormat="1" x14ac:dyDescent="0.2">
      <c r="A61" s="29"/>
      <c r="B61" s="29"/>
      <c r="C61" s="79"/>
      <c r="D61" s="67"/>
    </row>
    <row r="62" spans="1:4" s="66" customFormat="1" x14ac:dyDescent="0.2">
      <c r="A62" s="19"/>
      <c r="B62" s="41"/>
      <c r="C62" s="80"/>
      <c r="D62" s="8"/>
    </row>
    <row r="63" spans="1:4" s="66" customFormat="1" x14ac:dyDescent="0.2">
      <c r="A63" s="29"/>
      <c r="B63" s="29"/>
      <c r="C63" s="79"/>
      <c r="D63" s="67"/>
    </row>
    <row r="64" spans="1:4" ht="15" x14ac:dyDescent="0.25">
      <c r="A64" s="346"/>
      <c r="B64" s="32"/>
      <c r="C64" s="81"/>
      <c r="D64" s="32"/>
    </row>
    <row r="65" spans="1:4" x14ac:dyDescent="0.2">
      <c r="A65" s="62"/>
      <c r="B65" s="5"/>
      <c r="C65" s="82"/>
      <c r="D65" s="64"/>
    </row>
    <row r="66" spans="1:4" x14ac:dyDescent="0.2">
      <c r="A66" s="62"/>
      <c r="B66" s="5"/>
      <c r="C66" s="82"/>
      <c r="D66" s="64"/>
    </row>
    <row r="67" spans="1:4" x14ac:dyDescent="0.2">
      <c r="A67" s="62"/>
      <c r="B67" s="5"/>
      <c r="C67" s="82"/>
      <c r="D67" s="64"/>
    </row>
    <row r="68" spans="1:4" x14ac:dyDescent="0.2">
      <c r="A68" s="62"/>
      <c r="B68" s="5"/>
      <c r="C68" s="82"/>
      <c r="D68" s="1"/>
    </row>
    <row r="69" spans="1:4" x14ac:dyDescent="0.2">
      <c r="A69" s="62"/>
      <c r="B69" s="5"/>
      <c r="C69" s="82"/>
      <c r="D69" s="1"/>
    </row>
    <row r="70" spans="1:4" x14ac:dyDescent="0.2">
      <c r="A70" s="62"/>
      <c r="B70" s="5"/>
      <c r="C70" s="82"/>
      <c r="D70" s="1"/>
    </row>
    <row r="71" spans="1:4" x14ac:dyDescent="0.2">
      <c r="A71" s="62"/>
      <c r="B71" s="5"/>
      <c r="C71" s="82"/>
      <c r="D71" s="1"/>
    </row>
    <row r="72" spans="1:4" x14ac:dyDescent="0.2">
      <c r="C72" s="78"/>
      <c r="D72" s="1"/>
    </row>
    <row r="73" spans="1:4" x14ac:dyDescent="0.2">
      <c r="A73" s="72"/>
      <c r="C73" s="78"/>
      <c r="D73" s="1"/>
    </row>
    <row r="74" spans="1:4" x14ac:dyDescent="0.2">
      <c r="A74" s="19"/>
      <c r="B74" s="41"/>
      <c r="C74" s="80"/>
      <c r="D74" s="8"/>
    </row>
    <row r="75" spans="1:4" x14ac:dyDescent="0.2">
      <c r="C75" s="78"/>
    </row>
    <row r="76" spans="1:4" ht="15" x14ac:dyDescent="0.25">
      <c r="A76" s="347"/>
      <c r="B76" s="32"/>
      <c r="C76" s="81"/>
      <c r="D76" s="32"/>
    </row>
    <row r="77" spans="1:4" x14ac:dyDescent="0.2">
      <c r="A77" s="5"/>
      <c r="B77" s="33"/>
      <c r="D77" s="16"/>
    </row>
    <row r="78" spans="1:4" x14ac:dyDescent="0.2">
      <c r="A78" s="18"/>
      <c r="B78" s="33"/>
      <c r="C78" s="16"/>
      <c r="D78" s="16"/>
    </row>
    <row r="79" spans="1:4" x14ac:dyDescent="0.2">
      <c r="A79" s="18"/>
      <c r="B79" s="13"/>
      <c r="C79" s="16"/>
      <c r="D79" s="16"/>
    </row>
    <row r="80" spans="1:4" x14ac:dyDescent="0.2">
      <c r="A80" s="18"/>
      <c r="B80" s="13"/>
      <c r="C80" s="16"/>
      <c r="D80" s="16"/>
    </row>
    <row r="81" spans="1:4" x14ac:dyDescent="0.2">
      <c r="A81" s="18"/>
      <c r="B81" s="33"/>
      <c r="C81" s="16"/>
      <c r="D81" s="16"/>
    </row>
    <row r="82" spans="1:4" x14ac:dyDescent="0.2">
      <c r="A82" s="18"/>
      <c r="B82" s="33"/>
      <c r="C82" s="16"/>
      <c r="D82" s="16"/>
    </row>
    <row r="83" spans="1:4" x14ac:dyDescent="0.2">
      <c r="A83" s="18"/>
      <c r="B83" s="33"/>
      <c r="C83" s="77"/>
      <c r="D83" s="16"/>
    </row>
    <row r="84" spans="1:4" x14ac:dyDescent="0.2">
      <c r="A84" s="18"/>
      <c r="B84" s="33"/>
      <c r="C84" s="77"/>
      <c r="D84" s="16"/>
    </row>
    <row r="85" spans="1:4" x14ac:dyDescent="0.2">
      <c r="A85" s="18"/>
      <c r="B85" s="13"/>
      <c r="C85" s="77"/>
      <c r="D85" s="16"/>
    </row>
    <row r="86" spans="1:4" x14ac:dyDescent="0.2">
      <c r="A86" s="86"/>
      <c r="B86" s="41"/>
      <c r="C86" s="80"/>
      <c r="D86" s="8"/>
    </row>
    <row r="88" spans="1:4" s="66" customFormat="1" x14ac:dyDescent="0.2">
      <c r="A88" s="29"/>
      <c r="B88" s="29"/>
      <c r="C88" s="97"/>
      <c r="D88" s="96"/>
    </row>
    <row r="90" spans="1:4" ht="15" x14ac:dyDescent="0.25">
      <c r="A90" s="347"/>
      <c r="B90" s="32"/>
      <c r="C90" s="81"/>
      <c r="D90" s="32"/>
    </row>
    <row r="91" spans="1:4" x14ac:dyDescent="0.2">
      <c r="A91" s="5"/>
      <c r="D91" s="16"/>
    </row>
    <row r="92" spans="1:4" x14ac:dyDescent="0.2">
      <c r="A92" s="5"/>
      <c r="D92" s="16"/>
    </row>
    <row r="93" spans="1:4" x14ac:dyDescent="0.2">
      <c r="A93" s="5"/>
      <c r="D93" s="16"/>
    </row>
    <row r="94" spans="1:4" x14ac:dyDescent="0.2">
      <c r="A94" s="5"/>
      <c r="D94" s="16"/>
    </row>
    <row r="95" spans="1:4" x14ac:dyDescent="0.2">
      <c r="A95" s="5"/>
      <c r="D95" s="16"/>
    </row>
    <row r="96" spans="1:4" x14ac:dyDescent="0.2">
      <c r="A96" s="5"/>
      <c r="D96" s="16"/>
    </row>
    <row r="97" spans="1:4" x14ac:dyDescent="0.2">
      <c r="A97" s="5"/>
      <c r="D97" s="16"/>
    </row>
    <row r="98" spans="1:4" x14ac:dyDescent="0.2">
      <c r="A98" s="5"/>
      <c r="D98" s="16"/>
    </row>
    <row r="99" spans="1:4" x14ac:dyDescent="0.2">
      <c r="A99" s="5"/>
      <c r="D99" s="16"/>
    </row>
    <row r="100" spans="1:4" x14ac:dyDescent="0.2">
      <c r="A100" s="5"/>
      <c r="D100" s="16"/>
    </row>
    <row r="101" spans="1:4" x14ac:dyDescent="0.2">
      <c r="A101" s="5"/>
      <c r="D101" s="16"/>
    </row>
    <row r="102" spans="1:4" x14ac:dyDescent="0.2">
      <c r="A102" s="5"/>
      <c r="D102" s="16"/>
    </row>
    <row r="103" spans="1:4" x14ac:dyDescent="0.2">
      <c r="A103" s="5"/>
      <c r="D103" s="16"/>
    </row>
    <row r="105" spans="1:4" x14ac:dyDescent="0.2">
      <c r="A105" s="86"/>
      <c r="B105" s="41"/>
      <c r="C105" s="80"/>
      <c r="D105" s="8"/>
    </row>
    <row r="108" spans="1:4" ht="15" x14ac:dyDescent="0.25">
      <c r="A108" s="347"/>
      <c r="B108" s="32"/>
      <c r="C108" s="81"/>
      <c r="D108" s="32"/>
    </row>
    <row r="109" spans="1:4" x14ac:dyDescent="0.2">
      <c r="A109" s="5"/>
      <c r="D109" s="16"/>
    </row>
    <row r="111" spans="1:4" x14ac:dyDescent="0.2">
      <c r="A111" s="86"/>
      <c r="B111" s="41"/>
      <c r="C111" s="80"/>
      <c r="D111" s="8"/>
    </row>
  </sheetData>
  <phoneticPr fontId="3" type="noConversion"/>
  <pageMargins left="0.7" right="0.7" top="0.75" bottom="0.75" header="0.3" footer="0.3"/>
  <pageSetup paperSize="9" scale="52" orientation="portrait" r:id="rId1"/>
  <headerFooter>
    <oddHeader>&amp;LVERSIE 16-2-2021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3"/>
  <sheetViews>
    <sheetView view="pageLayout" zoomScaleNormal="100" workbookViewId="0">
      <selection activeCell="A21" sqref="A21"/>
    </sheetView>
  </sheetViews>
  <sheetFormatPr defaultColWidth="0" defaultRowHeight="12.75" x14ac:dyDescent="0.2"/>
  <cols>
    <col min="1" max="1" width="28.140625" style="1" customWidth="1"/>
    <col min="2" max="2" width="31" style="1" bestFit="1" customWidth="1"/>
    <col min="3" max="3" width="10.7109375" bestFit="1" customWidth="1"/>
    <col min="4" max="4" width="9.140625" hidden="1" customWidth="1"/>
    <col min="5" max="5" width="10" hidden="1" customWidth="1"/>
    <col min="6" max="6" width="11" hidden="1" customWidth="1"/>
    <col min="7" max="7" width="0" hidden="1" customWidth="1"/>
    <col min="8" max="8" width="9.140625" hidden="1" customWidth="1"/>
    <col min="9" max="9" width="10" hidden="1" customWidth="1"/>
    <col min="10" max="10" width="11" hidden="1" customWidth="1"/>
    <col min="11" max="16384" width="9.140625" hidden="1"/>
  </cols>
  <sheetData>
    <row r="1" spans="1:3" ht="15.75" x14ac:dyDescent="0.25">
      <c r="A1" s="6" t="s">
        <v>22</v>
      </c>
      <c r="B1" s="49" t="s">
        <v>55</v>
      </c>
    </row>
    <row r="2" spans="1:3" x14ac:dyDescent="0.2">
      <c r="B2" s="9"/>
      <c r="C2" s="9"/>
    </row>
    <row r="3" spans="1:3" x14ac:dyDescent="0.2">
      <c r="A3" s="10" t="s">
        <v>8</v>
      </c>
      <c r="B3" s="161">
        <v>2.8839999999999999</v>
      </c>
    </row>
    <row r="4" spans="1:3" ht="17.25" customHeight="1" x14ac:dyDescent="0.2">
      <c r="A4" s="43"/>
      <c r="B4" s="29"/>
      <c r="C4" s="2"/>
    </row>
    <row r="5" spans="1:3" x14ac:dyDescent="0.2">
      <c r="A5" s="306"/>
      <c r="B5" s="136" t="s">
        <v>9</v>
      </c>
      <c r="C5" s="315" t="s">
        <v>10</v>
      </c>
    </row>
    <row r="6" spans="1:3" x14ac:dyDescent="0.2">
      <c r="A6" s="46" t="s">
        <v>22</v>
      </c>
      <c r="B6" s="146">
        <f>C16</f>
        <v>9783.48</v>
      </c>
      <c r="C6" s="158">
        <f>B6*B3</f>
        <v>28215.556319999996</v>
      </c>
    </row>
    <row r="7" spans="1:3" x14ac:dyDescent="0.2">
      <c r="A7" s="46"/>
      <c r="B7" s="145"/>
      <c r="C7" s="159"/>
    </row>
    <row r="8" spans="1:3" ht="26.25" customHeight="1" x14ac:dyDescent="0.2">
      <c r="A8" s="47" t="s">
        <v>12</v>
      </c>
      <c r="B8" s="134">
        <f>SUM(B6:B7)</f>
        <v>9783.48</v>
      </c>
      <c r="C8" s="160">
        <f>SUM(C6:C7)</f>
        <v>28215.556319999996</v>
      </c>
    </row>
    <row r="9" spans="1:3" x14ac:dyDescent="0.2">
      <c r="A9" s="5"/>
    </row>
    <row r="10" spans="1:3" x14ac:dyDescent="0.2">
      <c r="C10" s="66"/>
    </row>
    <row r="11" spans="1:3" ht="15" x14ac:dyDescent="0.25">
      <c r="A11" s="347" t="s">
        <v>23</v>
      </c>
      <c r="B11" s="32" t="s">
        <v>24</v>
      </c>
      <c r="C11" s="32" t="s">
        <v>9</v>
      </c>
    </row>
    <row r="12" spans="1:3" x14ac:dyDescent="0.2">
      <c r="A12" s="15" t="s">
        <v>25</v>
      </c>
      <c r="B12" s="15" t="s">
        <v>60</v>
      </c>
      <c r="C12" s="99">
        <v>9637.57</v>
      </c>
    </row>
    <row r="13" spans="1:3" x14ac:dyDescent="0.2">
      <c r="A13" s="98" t="s">
        <v>27</v>
      </c>
      <c r="B13" s="15" t="s">
        <v>60</v>
      </c>
      <c r="C13" s="77">
        <v>145.91</v>
      </c>
    </row>
    <row r="14" spans="1:3" x14ac:dyDescent="0.2">
      <c r="A14" s="15"/>
      <c r="B14" s="30"/>
      <c r="C14" s="77"/>
    </row>
    <row r="15" spans="1:3" x14ac:dyDescent="0.2">
      <c r="A15" s="15"/>
      <c r="B15" s="30"/>
      <c r="C15" s="77"/>
    </row>
    <row r="16" spans="1:3" ht="12.75" customHeight="1" x14ac:dyDescent="0.2">
      <c r="A16" s="21" t="s">
        <v>28</v>
      </c>
      <c r="B16" s="42"/>
      <c r="C16" s="51">
        <f>SUM(C12:C15)</f>
        <v>9783.48</v>
      </c>
    </row>
    <row r="17" spans="1:1" ht="12.75" customHeight="1" x14ac:dyDescent="0.2"/>
    <row r="18" spans="1:1" ht="12.75" customHeight="1" x14ac:dyDescent="0.2">
      <c r="A18" s="2"/>
    </row>
    <row r="19" spans="1:1" ht="12.75" customHeight="1" x14ac:dyDescent="0.2"/>
    <row r="20" spans="1:1" ht="12.75" customHeight="1" x14ac:dyDescent="0.2"/>
    <row r="21" spans="1:1" ht="12.75" customHeight="1" x14ac:dyDescent="0.2"/>
    <row r="22" spans="1:1" ht="12.75" customHeight="1" x14ac:dyDescent="0.2"/>
    <row r="23" spans="1:1" ht="12.75" customHeight="1" x14ac:dyDescent="0.2"/>
    <row r="24" spans="1:1" ht="12.75" customHeight="1" x14ac:dyDescent="0.2"/>
    <row r="25" spans="1:1" ht="12.75" customHeight="1" x14ac:dyDescent="0.2"/>
    <row r="26" spans="1:1" ht="12.75" customHeight="1" x14ac:dyDescent="0.2"/>
    <row r="27" spans="1:1" ht="12.75" customHeight="1" x14ac:dyDescent="0.2"/>
    <row r="28" spans="1:1" ht="12.75" customHeight="1" x14ac:dyDescent="0.2"/>
    <row r="29" spans="1:1" ht="12.75" customHeight="1" x14ac:dyDescent="0.2"/>
    <row r="30" spans="1:1" ht="12.75" customHeight="1" x14ac:dyDescent="0.2"/>
    <row r="31" spans="1:1" ht="12.75" customHeight="1" x14ac:dyDescent="0.2"/>
    <row r="32" spans="1:1" ht="12.75" customHeight="1" x14ac:dyDescent="0.2"/>
    <row r="33" ht="12.75" customHeight="1" x14ac:dyDescent="0.2"/>
  </sheetData>
  <pageMargins left="0.7" right="0.7" top="0.75" bottom="0.75" header="0.3" footer="0.3"/>
  <pageSetup paperSize="9" orientation="portrait" r:id="rId1"/>
  <headerFooter>
    <oddHeader xml:space="preserve">&amp;LVERSIE 16-2-2021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zoomScaleNormal="100" workbookViewId="0">
      <selection activeCell="E2" sqref="E2"/>
    </sheetView>
  </sheetViews>
  <sheetFormatPr defaultColWidth="8.85546875" defaultRowHeight="12.75" x14ac:dyDescent="0.2"/>
  <cols>
    <col min="1" max="1" width="26.140625" bestFit="1" customWidth="1"/>
    <col min="2" max="2" width="20.140625" bestFit="1" customWidth="1"/>
    <col min="3" max="4" width="25" bestFit="1" customWidth="1"/>
    <col min="5" max="5" width="13.85546875" bestFit="1" customWidth="1"/>
  </cols>
  <sheetData>
    <row r="1" spans="1:8" x14ac:dyDescent="0.2">
      <c r="A1" s="109" t="s">
        <v>29</v>
      </c>
      <c r="B1" s="110" t="s">
        <v>30</v>
      </c>
      <c r="C1" s="110"/>
      <c r="D1" s="111" t="s">
        <v>8</v>
      </c>
      <c r="E1" s="112" t="s">
        <v>15</v>
      </c>
    </row>
    <row r="2" spans="1:8" x14ac:dyDescent="0.2">
      <c r="A2" s="113" t="s">
        <v>31</v>
      </c>
      <c r="B2" s="114">
        <f>E21</f>
        <v>13223.205</v>
      </c>
      <c r="C2" s="115" t="s">
        <v>32</v>
      </c>
      <c r="D2" s="108">
        <v>0</v>
      </c>
      <c r="E2" s="116">
        <f t="shared" ref="E2" si="0">B2*D2</f>
        <v>0</v>
      </c>
    </row>
    <row r="3" spans="1:8" x14ac:dyDescent="0.2">
      <c r="A3" s="108"/>
      <c r="B3" s="114"/>
      <c r="C3" s="115"/>
      <c r="D3" s="108"/>
      <c r="E3" s="114"/>
    </row>
    <row r="5" spans="1:8" x14ac:dyDescent="0.2">
      <c r="A5" s="2" t="s">
        <v>33</v>
      </c>
      <c r="B5" s="106">
        <v>2018</v>
      </c>
    </row>
    <row r="6" spans="1:8" x14ac:dyDescent="0.2">
      <c r="A6" s="103" t="s">
        <v>34</v>
      </c>
      <c r="B6" s="103" t="s">
        <v>35</v>
      </c>
      <c r="C6" s="103" t="s">
        <v>36</v>
      </c>
      <c r="D6" s="103" t="s">
        <v>37</v>
      </c>
      <c r="E6" s="103"/>
      <c r="F6" s="103"/>
      <c r="H6" s="107"/>
    </row>
    <row r="7" spans="1:8" x14ac:dyDescent="0.2">
      <c r="A7" s="101">
        <v>43101</v>
      </c>
      <c r="B7">
        <v>1013.402</v>
      </c>
      <c r="C7">
        <v>-115.786</v>
      </c>
    </row>
    <row r="8" spans="1:8" x14ac:dyDescent="0.2">
      <c r="A8" s="101">
        <v>43132</v>
      </c>
      <c r="B8">
        <v>695.45100000000002</v>
      </c>
      <c r="C8">
        <v>-667.40000000000009</v>
      </c>
    </row>
    <row r="9" spans="1:8" x14ac:dyDescent="0.2">
      <c r="A9" s="101">
        <v>43160</v>
      </c>
      <c r="B9">
        <v>613.41200000000003</v>
      </c>
      <c r="C9">
        <v>-1305.403</v>
      </c>
    </row>
    <row r="10" spans="1:8" x14ac:dyDescent="0.2">
      <c r="A10" s="101">
        <v>43191</v>
      </c>
      <c r="B10">
        <v>480.25100000000003</v>
      </c>
      <c r="C10">
        <v>-1974.7060000000001</v>
      </c>
    </row>
    <row r="11" spans="1:8" x14ac:dyDescent="0.2">
      <c r="A11" s="101">
        <v>43221</v>
      </c>
      <c r="B11">
        <v>400.399</v>
      </c>
      <c r="C11">
        <v>-3069.1759999999999</v>
      </c>
    </row>
    <row r="12" spans="1:8" x14ac:dyDescent="0.2">
      <c r="A12" s="101">
        <v>43252</v>
      </c>
      <c r="B12">
        <v>399.98900000000003</v>
      </c>
      <c r="C12">
        <v>-2614.6370000000002</v>
      </c>
    </row>
    <row r="13" spans="1:8" x14ac:dyDescent="0.2">
      <c r="A13" s="101">
        <v>43282</v>
      </c>
      <c r="B13">
        <v>449.7</v>
      </c>
      <c r="C13">
        <v>-3452.6190000000001</v>
      </c>
    </row>
    <row r="14" spans="1:8" x14ac:dyDescent="0.2">
      <c r="A14" s="101">
        <v>43313</v>
      </c>
      <c r="B14">
        <v>550.45699999999999</v>
      </c>
      <c r="C14">
        <v>-2191.895</v>
      </c>
    </row>
    <row r="15" spans="1:8" x14ac:dyDescent="0.2">
      <c r="A15" s="101">
        <v>43344</v>
      </c>
      <c r="B15">
        <v>542.03599999999994</v>
      </c>
      <c r="C15">
        <v>-1652.117</v>
      </c>
    </row>
    <row r="16" spans="1:8" x14ac:dyDescent="0.2">
      <c r="A16" s="101">
        <v>43374</v>
      </c>
      <c r="B16">
        <v>658.01400000000001</v>
      </c>
      <c r="C16">
        <v>-878.76600000000008</v>
      </c>
    </row>
    <row r="17" spans="1:5" x14ac:dyDescent="0.2">
      <c r="A17" s="101">
        <v>43405</v>
      </c>
      <c r="B17">
        <v>712.947</v>
      </c>
      <c r="C17">
        <v>-268.13</v>
      </c>
    </row>
    <row r="18" spans="1:5" x14ac:dyDescent="0.2">
      <c r="A18" s="101">
        <v>43435</v>
      </c>
      <c r="B18">
        <v>644.36799999999994</v>
      </c>
      <c r="C18">
        <v>-106.58600000000001</v>
      </c>
    </row>
    <row r="21" spans="1:5" x14ac:dyDescent="0.2">
      <c r="A21" s="2" t="s">
        <v>61</v>
      </c>
      <c r="B21" s="104">
        <f>SUM(B7:B18)</f>
        <v>7160.4260000000013</v>
      </c>
      <c r="C21" s="104">
        <f>SUM(C7:C18)</f>
        <v>-18297.221000000001</v>
      </c>
      <c r="D21" s="104">
        <v>24360</v>
      </c>
      <c r="E21">
        <f>B21+(C21+D21)</f>
        <v>13223.205</v>
      </c>
    </row>
    <row r="22" spans="1:5" x14ac:dyDescent="0.2">
      <c r="B22" s="105" t="s">
        <v>38</v>
      </c>
      <c r="C22" s="105" t="s">
        <v>39</v>
      </c>
      <c r="D22" s="103" t="s">
        <v>37</v>
      </c>
      <c r="E22" s="102" t="s">
        <v>62</v>
      </c>
    </row>
    <row r="24" spans="1:5" x14ac:dyDescent="0.2">
      <c r="A24" t="s">
        <v>41</v>
      </c>
      <c r="B24" t="s">
        <v>63</v>
      </c>
    </row>
    <row r="25" spans="1:5" x14ac:dyDescent="0.2">
      <c r="B25" t="s">
        <v>43</v>
      </c>
    </row>
  </sheetData>
  <pageMargins left="0.7" right="0.7" top="0.75" bottom="0.75" header="0.3" footer="0.3"/>
  <pageSetup paperSize="9" orientation="portrait" r:id="rId1"/>
  <headerFooter>
    <oddHeader>&amp;LVERSIE 18 april 2019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21"/>
  <sheetViews>
    <sheetView showGridLines="0" view="pageLayout" zoomScaleNormal="100" workbookViewId="0">
      <selection activeCell="A27" sqref="A27"/>
    </sheetView>
  </sheetViews>
  <sheetFormatPr defaultColWidth="0" defaultRowHeight="14.25" x14ac:dyDescent="0.2"/>
  <cols>
    <col min="1" max="1" width="32.140625" style="53" customWidth="1"/>
    <col min="2" max="2" width="17.140625" style="53" customWidth="1"/>
    <col min="3" max="3" width="7.42578125" style="53" customWidth="1"/>
    <col min="4" max="4" width="9" style="53" customWidth="1"/>
    <col min="5" max="5" width="10.7109375" style="53" bestFit="1" customWidth="1"/>
    <col min="6" max="6" width="9.42578125" style="53" customWidth="1"/>
    <col min="7" max="7" width="8.85546875" style="53" bestFit="1" customWidth="1"/>
    <col min="8" max="8" width="2.42578125" style="53" customWidth="1"/>
    <col min="9" max="16384" width="9.140625" style="53" hidden="1"/>
  </cols>
  <sheetData>
    <row r="2" spans="1:7" ht="23.25" x14ac:dyDescent="0.2">
      <c r="A2" s="409">
        <v>2018</v>
      </c>
      <c r="B2" s="409"/>
      <c r="C2" s="409"/>
      <c r="D2" s="409"/>
      <c r="E2" s="409"/>
      <c r="F2" s="409"/>
      <c r="G2" s="409"/>
    </row>
    <row r="3" spans="1:7" x14ac:dyDescent="0.2">
      <c r="A3" s="26" t="s">
        <v>44</v>
      </c>
      <c r="B3" s="7"/>
      <c r="C3" s="7"/>
      <c r="E3" s="7"/>
    </row>
    <row r="4" spans="1:7" x14ac:dyDescent="0.2">
      <c r="A4" s="52" t="s">
        <v>45</v>
      </c>
      <c r="B4" s="52"/>
      <c r="C4" s="52"/>
      <c r="D4" s="52"/>
      <c r="E4" s="52"/>
      <c r="F4" s="52"/>
      <c r="G4" s="52"/>
    </row>
    <row r="5" spans="1:7" x14ac:dyDescent="0.2">
      <c r="A5" s="3" t="s">
        <v>13</v>
      </c>
      <c r="B5" s="24">
        <f>'Dieselolie 2018'!B8</f>
        <v>45653.87</v>
      </c>
      <c r="C5" s="3" t="s">
        <v>46</v>
      </c>
      <c r="D5" s="25"/>
      <c r="E5" s="4">
        <f>'Dieselolie 2018'!C6</f>
        <v>151068.65583</v>
      </c>
      <c r="F5" s="3" t="s">
        <v>10</v>
      </c>
      <c r="G5" s="27">
        <f>E5/$E$12</f>
        <v>0.84262107643704198</v>
      </c>
    </row>
    <row r="6" spans="1:7" x14ac:dyDescent="0.2">
      <c r="A6" s="3" t="s">
        <v>47</v>
      </c>
      <c r="B6" s="24">
        <f>'Euro 95 2018'!B8</f>
        <v>9783.48</v>
      </c>
      <c r="C6" s="3" t="s">
        <v>46</v>
      </c>
      <c r="D6" s="25"/>
      <c r="E6" s="4">
        <f>'Euro 95 2018'!C8</f>
        <v>28215.556319999996</v>
      </c>
      <c r="F6" s="3" t="s">
        <v>10</v>
      </c>
      <c r="G6" s="27">
        <f>E6/$E$12</f>
        <v>0.15737892356295799</v>
      </c>
    </row>
    <row r="7" spans="1:7" x14ac:dyDescent="0.2">
      <c r="A7" s="408" t="s">
        <v>48</v>
      </c>
      <c r="B7" s="408"/>
      <c r="C7" s="408"/>
      <c r="D7" s="408"/>
      <c r="E7" s="22">
        <f>SUM(E5:E6)</f>
        <v>179284.21215000001</v>
      </c>
      <c r="F7" s="7" t="s">
        <v>10</v>
      </c>
      <c r="G7" s="28">
        <f>E7/$E$12</f>
        <v>1</v>
      </c>
    </row>
    <row r="8" spans="1:7" x14ac:dyDescent="0.2">
      <c r="A8" s="52" t="s">
        <v>49</v>
      </c>
      <c r="B8" s="52"/>
      <c r="C8" s="52"/>
      <c r="D8" s="52"/>
      <c r="E8" s="52"/>
      <c r="F8" s="52"/>
      <c r="G8" s="52"/>
    </row>
    <row r="9" spans="1:7" ht="14.25" customHeight="1" x14ac:dyDescent="0.2">
      <c r="A9" s="3" t="s">
        <v>64</v>
      </c>
      <c r="B9" s="4">
        <f>'Elektra 2018'!B2</f>
        <v>13223.205</v>
      </c>
      <c r="C9" s="3" t="s">
        <v>32</v>
      </c>
      <c r="D9" s="108"/>
      <c r="E9" s="4">
        <f>'Elektra 2018'!E2</f>
        <v>0</v>
      </c>
      <c r="F9" s="3" t="s">
        <v>10</v>
      </c>
      <c r="G9" s="27">
        <f>E9/E12</f>
        <v>0</v>
      </c>
    </row>
    <row r="10" spans="1:7" x14ac:dyDescent="0.2">
      <c r="A10" s="408" t="s">
        <v>48</v>
      </c>
      <c r="B10" s="408"/>
      <c r="C10" s="408"/>
      <c r="D10" s="408"/>
      <c r="E10" s="22">
        <f>SUM(E9:E9)</f>
        <v>0</v>
      </c>
      <c r="F10" s="7" t="s">
        <v>10</v>
      </c>
      <c r="G10" s="28">
        <f>E10/E12</f>
        <v>0</v>
      </c>
    </row>
    <row r="11" spans="1:7" x14ac:dyDescent="0.2">
      <c r="A11" s="52" t="s">
        <v>12</v>
      </c>
      <c r="B11" s="52"/>
      <c r="C11" s="52"/>
      <c r="D11" s="52"/>
      <c r="E11" s="52"/>
      <c r="F11" s="52"/>
      <c r="G11" s="52"/>
    </row>
    <row r="12" spans="1:7" x14ac:dyDescent="0.2">
      <c r="A12" s="26"/>
      <c r="B12" s="26"/>
      <c r="C12" s="26"/>
      <c r="D12" s="23" t="s">
        <v>51</v>
      </c>
      <c r="E12" s="22">
        <f>E10+E7</f>
        <v>179284.21215000001</v>
      </c>
      <c r="F12" s="7" t="s">
        <v>10</v>
      </c>
      <c r="G12" s="100">
        <f>G7+G10</f>
        <v>1</v>
      </c>
    </row>
    <row r="14" spans="1:7" x14ac:dyDescent="0.2">
      <c r="B14" s="4"/>
    </row>
    <row r="16" spans="1:7" x14ac:dyDescent="0.2">
      <c r="A16" s="54" t="s">
        <v>52</v>
      </c>
      <c r="B16" s="55"/>
      <c r="C16" s="26"/>
      <c r="D16" s="26"/>
      <c r="E16" s="26"/>
      <c r="F16" s="26"/>
      <c r="G16" s="26"/>
    </row>
    <row r="17" spans="1:7" x14ac:dyDescent="0.2">
      <c r="A17" s="56" t="s">
        <v>53</v>
      </c>
      <c r="B17" s="57">
        <v>43573</v>
      </c>
      <c r="C17" s="26"/>
      <c r="D17" s="26"/>
      <c r="E17" s="26"/>
      <c r="F17" s="26"/>
      <c r="G17" s="26"/>
    </row>
    <row r="18" spans="1:7" x14ac:dyDescent="0.2">
      <c r="A18" s="56" t="s">
        <v>65</v>
      </c>
      <c r="B18" s="58"/>
      <c r="C18" s="26"/>
      <c r="D18" s="26"/>
      <c r="E18" s="26"/>
      <c r="F18" s="26"/>
      <c r="G18" s="26"/>
    </row>
    <row r="19" spans="1:7" x14ac:dyDescent="0.2">
      <c r="A19" s="59" t="s">
        <v>53</v>
      </c>
      <c r="B19" s="60">
        <v>44243</v>
      </c>
      <c r="C19" s="26"/>
      <c r="D19" s="26"/>
      <c r="E19" s="26"/>
      <c r="F19" s="26"/>
      <c r="G19" s="26"/>
    </row>
    <row r="20" spans="1:7" x14ac:dyDescent="0.2">
      <c r="A20" s="26"/>
      <c r="B20" s="26"/>
      <c r="C20" s="26"/>
      <c r="D20" s="26"/>
      <c r="E20" s="26"/>
      <c r="F20" s="26"/>
      <c r="G20" s="26"/>
    </row>
    <row r="21" spans="1:7" x14ac:dyDescent="0.2">
      <c r="A21" s="408"/>
      <c r="B21" s="408"/>
      <c r="C21" s="408"/>
      <c r="D21" s="408"/>
      <c r="E21" s="50"/>
      <c r="F21" s="7"/>
      <c r="G21" s="28"/>
    </row>
  </sheetData>
  <mergeCells count="4">
    <mergeCell ref="A2:G2"/>
    <mergeCell ref="A7:D7"/>
    <mergeCell ref="A10:D10"/>
    <mergeCell ref="A21:D21"/>
  </mergeCells>
  <pageMargins left="0.7" right="0.7" top="0.75" bottom="0.75" header="0.3" footer="0.3"/>
  <pageSetup paperSize="9" scale="94" orientation="portrait" horizontalDpi="4294967294" r:id="rId1"/>
  <headerFooter>
    <oddHeader>&amp;LVERSIE 16-2-2021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EA3A19014C9C44BA5159D5D6B3B6EC" ma:contentTypeVersion="13" ma:contentTypeDescription="Een nieuw document maken." ma:contentTypeScope="" ma:versionID="bf0ea05e960608b3b28960df74d36abc">
  <xsd:schema xmlns:xsd="http://www.w3.org/2001/XMLSchema" xmlns:xs="http://www.w3.org/2001/XMLSchema" xmlns:p="http://schemas.microsoft.com/office/2006/metadata/properties" xmlns:ns2="580c2d83-ad61-4a1e-8704-a964829fea33" xmlns:ns3="fb501cd7-dd8b-4113-bd10-630e4a45e9f6" targetNamespace="http://schemas.microsoft.com/office/2006/metadata/properties" ma:root="true" ma:fieldsID="b92e2080ce50ae689205233776a8b237" ns2:_="" ns3:_="">
    <xsd:import namespace="580c2d83-ad61-4a1e-8704-a964829fea33"/>
    <xsd:import namespace="fb501cd7-dd8b-4113-bd10-630e4a45e9f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0c2d83-ad61-4a1e-8704-a964829fea3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501cd7-dd8b-4113-bd10-630e4a45e9f6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1CC112F-D08C-4F2A-9105-876C072D67C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80c2d83-ad61-4a1e-8704-a964829fea33"/>
    <ds:schemaRef ds:uri="fb501cd7-dd8b-4113-bd10-630e4a45e9f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DC94F24-BA54-4C05-8B5A-6695BC8D3B2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D93863E-FD2C-413D-8F1B-7CB71DFA35BF}">
  <ds:schemaRefs>
    <ds:schemaRef ds:uri="http://purl.org/dc/elements/1.1/"/>
    <ds:schemaRef ds:uri="http://schemas.microsoft.com/office/2006/metadata/properties"/>
    <ds:schemaRef ds:uri="fb501cd7-dd8b-4113-bd10-630e4a45e9f6"/>
    <ds:schemaRef ds:uri="http://purl.org/dc/terms/"/>
    <ds:schemaRef ds:uri="http://schemas.microsoft.com/office/infopath/2007/PartnerControls"/>
    <ds:schemaRef ds:uri="http://schemas.microsoft.com/office/2006/documentManagement/types"/>
    <ds:schemaRef ds:uri="580c2d83-ad61-4a1e-8704-a964829fea33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29</vt:i4>
      </vt:variant>
      <vt:variant>
        <vt:lpstr>Benoemde bereiken</vt:lpstr>
      </vt:variant>
      <vt:variant>
        <vt:i4>2</vt:i4>
      </vt:variant>
    </vt:vector>
  </HeadingPairs>
  <TitlesOfParts>
    <vt:vector size="31" baseType="lpstr">
      <vt:lpstr>Toelichting</vt:lpstr>
      <vt:lpstr>Dieselolie 2017</vt:lpstr>
      <vt:lpstr>Euro 95 2017</vt:lpstr>
      <vt:lpstr>Elektra 2017</vt:lpstr>
      <vt:lpstr>CO2-footprint 2017</vt:lpstr>
      <vt:lpstr>Dieselolie 2018</vt:lpstr>
      <vt:lpstr>Euro 95 2018</vt:lpstr>
      <vt:lpstr>Elektra 2018</vt:lpstr>
      <vt:lpstr>CO2-footprint 2018</vt:lpstr>
      <vt:lpstr>Dieselolie 2019</vt:lpstr>
      <vt:lpstr>Euro 95 2019</vt:lpstr>
      <vt:lpstr>Stadswarmte 2019</vt:lpstr>
      <vt:lpstr>Elektra 2019</vt:lpstr>
      <vt:lpstr>CO-2 Footprint 2019</vt:lpstr>
      <vt:lpstr>Dieselolie 2020</vt:lpstr>
      <vt:lpstr>Euro 95 2020</vt:lpstr>
      <vt:lpstr>Stadswarmte 2020</vt:lpstr>
      <vt:lpstr>Elektra 2020</vt:lpstr>
      <vt:lpstr>CO-2 Footprint 2020</vt:lpstr>
      <vt:lpstr>Dieselolie 2021</vt:lpstr>
      <vt:lpstr>Euro 95 2021</vt:lpstr>
      <vt:lpstr>Elektra 2021</vt:lpstr>
      <vt:lpstr>Stadswarmte 2021</vt:lpstr>
      <vt:lpstr>Verschillen 2017 - 2021</vt:lpstr>
      <vt:lpstr>Dieselolie 2022</vt:lpstr>
      <vt:lpstr>Euro 95 2022</vt:lpstr>
      <vt:lpstr>Elektra 2022</vt:lpstr>
      <vt:lpstr>Stadswarmte 2022</vt:lpstr>
      <vt:lpstr>Verschillen 2017 - 2022</vt:lpstr>
      <vt:lpstr>'Verschillen 2017 - 2021'!Afdrukbereik</vt:lpstr>
      <vt:lpstr>'Verschillen 2017 - 2022'!Afdrukbereik</vt:lpstr>
    </vt:vector>
  </TitlesOfParts>
  <Manager/>
  <Company>INFRAWARE, Inc.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 Vermeulen</dc:creator>
  <cp:keywords/>
  <dc:description/>
  <cp:lastModifiedBy>Jeffrey Bos</cp:lastModifiedBy>
  <cp:revision/>
  <dcterms:created xsi:type="dcterms:W3CDTF">2010-06-21T07:17:39Z</dcterms:created>
  <dcterms:modified xsi:type="dcterms:W3CDTF">2023-02-03T10:26:31Z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0x010100FDEA3A19014C9C44BA5159D5D6B3B6EC</vt:lpwstr>
  </property>
</Properties>
</file>